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2002-2006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Area" localSheetId="0">'2002-2006'!$A$1:$M$62</definedName>
  </definedNames>
  <calcPr fullCalcOnLoad="1"/>
</workbook>
</file>

<file path=xl/sharedStrings.xml><?xml version="1.0" encoding="utf-8"?>
<sst xmlns="http://schemas.openxmlformats.org/spreadsheetml/2006/main" count="288" uniqueCount="122">
  <si>
    <t>state</t>
  </si>
  <si>
    <t>alaska</t>
  </si>
  <si>
    <t>alabama</t>
  </si>
  <si>
    <t>arkansas</t>
  </si>
  <si>
    <t>arizona</t>
  </si>
  <si>
    <t>california</t>
  </si>
  <si>
    <t>colorado</t>
  </si>
  <si>
    <t>georgia</t>
  </si>
  <si>
    <t>hawaii</t>
  </si>
  <si>
    <t>idaho</t>
  </si>
  <si>
    <t>illinois</t>
  </si>
  <si>
    <t>kansas</t>
  </si>
  <si>
    <t>kentucky</t>
  </si>
  <si>
    <t>louisiana</t>
  </si>
  <si>
    <t>maine</t>
  </si>
  <si>
    <t>michigan</t>
  </si>
  <si>
    <t>minnesota</t>
  </si>
  <si>
    <t>missouri</t>
  </si>
  <si>
    <t>mississippi</t>
  </si>
  <si>
    <t>north carolina</t>
  </si>
  <si>
    <t>north dakota</t>
  </si>
  <si>
    <t>nebraska</t>
  </si>
  <si>
    <t>hew hampshire</t>
  </si>
  <si>
    <t>new mexico</t>
  </si>
  <si>
    <t>new york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</si>
  <si>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</si>
  <si>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</si>
  <si>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</si>
  <si>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</si>
  <si>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</si>
  <si>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</si>
  <si>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</si>
  <si>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</si>
  <si>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virginia</t>
  </si>
  <si>
    <t>vermont</t>
  </si>
  <si>
    <t>washington</t>
  </si>
  <si>
    <t>wisconsin</t>
  </si>
  <si>
    <t>west virginia</t>
  </si>
  <si>
    <t>wyoming</t>
  </si>
  <si>
    <t>iowa</t>
  </si>
  <si>
    <t>indiana</t>
  </si>
  <si>
    <t>montana</t>
  </si>
  <si>
    <t>new hampshire</t>
  </si>
  <si>
    <t>nevada</t>
  </si>
  <si>
    <t>delaware</t>
  </si>
  <si>
    <t>florida</t>
  </si>
  <si>
    <t>massachusetts</t>
  </si>
  <si>
    <t>new jersey</t>
  </si>
  <si>
    <t>utah</t>
  </si>
  <si>
    <t>GU ?</t>
  </si>
  <si>
    <t>AS ?</t>
  </si>
  <si>
    <t>http://www.usda.gov/rus/telecom/dlt/dlt.htm</t>
  </si>
  <si>
    <t>2006 Distance Learning and Telemedicine grants</t>
  </si>
  <si>
    <t># of grants</t>
  </si>
  <si>
    <t>amount of grants</t>
  </si>
  <si>
    <t>2005 Distance Learning and Telemedicine grants</t>
  </si>
  <si>
    <t>2004 Distance Learning and Telemedicine grants</t>
  </si>
  <si>
    <t>2003 Distance Learning and Telemedicine grants</t>
  </si>
  <si>
    <t>maryland</t>
  </si>
  <si>
    <t>2002 Distance Learning and Telemedicine grants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</si>
  <si>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</si>
  <si>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</si>
  <si>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</si>
  <si>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</si>
  <si>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</si>
  <si>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</si>
  <si>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</si>
  <si>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</si>
  <si>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Florida</t>
  </si>
  <si>
    <t>Georgia</t>
  </si>
  <si>
    <t>Hawaii</t>
  </si>
  <si>
    <t xml:space="preserve">Idaho </t>
  </si>
  <si>
    <t xml:space="preserve">Illinois </t>
  </si>
  <si>
    <t>Indiana</t>
  </si>
  <si>
    <t xml:space="preserve">Iowa </t>
  </si>
  <si>
    <t xml:space="preserve">Kansas </t>
  </si>
  <si>
    <t>Kentucky</t>
  </si>
  <si>
    <t>Louisiana</t>
  </si>
  <si>
    <t xml:space="preserve">Maine </t>
  </si>
  <si>
    <t>Maryland</t>
  </si>
  <si>
    <t>Massachusetts</t>
  </si>
  <si>
    <t>Michigan</t>
  </si>
  <si>
    <t xml:space="preserve">Minnesota </t>
  </si>
  <si>
    <t xml:space="preserve">Mississippi </t>
  </si>
  <si>
    <t xml:space="preserve">Missouri </t>
  </si>
  <si>
    <t xml:space="preserve">Montana </t>
  </si>
  <si>
    <t>Nebraska</t>
  </si>
  <si>
    <t>Nevada</t>
  </si>
  <si>
    <t>New Hampshire</t>
  </si>
  <si>
    <t xml:space="preserve">New Jersey </t>
  </si>
  <si>
    <t xml:space="preserve">New Mexico </t>
  </si>
  <si>
    <t xml:space="preserve">New York </t>
  </si>
  <si>
    <t>North Carolina</t>
  </si>
  <si>
    <t xml:space="preserve">North Dakota </t>
  </si>
  <si>
    <t>Ohio</t>
  </si>
  <si>
    <t>Oklahoma</t>
  </si>
  <si>
    <t>Oregon</t>
  </si>
  <si>
    <t xml:space="preserve">Pennsylvania </t>
  </si>
  <si>
    <t xml:space="preserve">Rhode Island </t>
  </si>
  <si>
    <t xml:space="preserve">South Carolina </t>
  </si>
  <si>
    <t>South Dakota</t>
  </si>
  <si>
    <t>Tennessee</t>
  </si>
  <si>
    <t xml:space="preserve">Texas </t>
  </si>
  <si>
    <t xml:space="preserve">Utah </t>
  </si>
  <si>
    <t>Vermont</t>
  </si>
  <si>
    <t xml:space="preserve">Virginia </t>
  </si>
  <si>
    <t>Washington</t>
  </si>
  <si>
    <t xml:space="preserve">West Virginia </t>
  </si>
  <si>
    <t>Wisconsin</t>
  </si>
  <si>
    <t xml:space="preserve">Wyoming </t>
  </si>
  <si>
    <t>State</t>
  </si>
  <si>
    <t>Total</t>
  </si>
  <si>
    <t>$ amount of grants</t>
  </si>
  <si>
    <t>total # of grants from 2006-02</t>
  </si>
  <si>
    <t>total $ amount of grants from 2006-02</t>
  </si>
  <si>
    <t>USDA Distance Learning &amp; Telemedicine Grants by State, 2006-2002</t>
  </si>
  <si>
    <r>
      <t xml:space="preserve">Source: </t>
    </r>
    <r>
      <rPr>
        <sz val="10"/>
        <rFont val="Arial"/>
        <family val="2"/>
      </rPr>
      <t>USDA Rural Development, Distance Learning &amp; Telemedicine Grants</t>
    </r>
  </si>
  <si>
    <t>FY2006 http://www.rurdev.usda.gov/rd/newsroom/2006/2006DLTGrantRecipients.pdf</t>
  </si>
  <si>
    <t>FY2005 http://www.rurdev.usda.gov/rd/newsroom/2005/2005DLTRecipients.pdf</t>
  </si>
  <si>
    <t>FY2003 http://www.rurdev.usda.gov/rd/newsroom/2003/2003dltgrants.html</t>
  </si>
  <si>
    <t>FY2004 http://www.usda.gov/rus/telecom/dlt/awardlist/2004-dlt-grants.htm</t>
  </si>
  <si>
    <t>FY2002 http://www.usda.gov/rus/telecom/dlt/awardlist/2002win.htm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</si>
</sst>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7" xfId="0" applyFont="1" applyFill="1" applyBorder="1" applyAlignment="1">
      <alignment horizontal="right" wrapText="1"/>
    </xf>
    <xf numFmtId="3" fontId="0" fillId="0" borderId="3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8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22" customWidth="1"/>
    <col min="2" max="2" width="10.421875" style="7" customWidth="1"/>
    <col min="3" max="3" width="11.140625" style="7" customWidth="1"/>
    <col min="4" max="11" width="10.421875" style="7" customWidth="1"/>
    <col min="12" max="12" width="12.28125" style="17" customWidth="1"/>
    <col min="13" max="13" width="15.00390625" style="17" customWidth="1"/>
    <col min="14" max="16384" width="9.140625" style="7" customWidth="1"/>
  </cols>
  <sheetData>
    <row r="1" spans="1:13" ht="12.75">
      <c r="A1" s="3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3"/>
      <c r="M1" s="23"/>
    </row>
    <row r="2" spans="1:13" ht="12.75">
      <c r="A2" s="31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31" t="s">
        <v>116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7"/>
      <c r="B4" s="32" t="s">
        <v>117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32"/>
      <c r="B5" s="29" t="s">
        <v>118</v>
      </c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32"/>
      <c r="B6" s="29" t="s">
        <v>120</v>
      </c>
      <c r="C6" s="29"/>
      <c r="D6" s="29"/>
      <c r="E6" s="29"/>
      <c r="F6" s="29"/>
      <c r="G6" s="29"/>
      <c r="H6" s="29"/>
      <c r="I6" s="29"/>
      <c r="J6" s="29"/>
      <c r="K6" s="29"/>
      <c r="L6" s="30"/>
      <c r="M6" s="30"/>
    </row>
    <row r="7" spans="1:13" ht="12.75">
      <c r="A7" s="32"/>
      <c r="B7" s="33" t="s">
        <v>119</v>
      </c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</row>
    <row r="8" spans="1:13" ht="12.75">
      <c r="A8" s="32"/>
      <c r="B8" s="33" t="s">
        <v>121</v>
      </c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</row>
    <row r="9" spans="1:13" ht="12.75">
      <c r="A9" s="18"/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</row>
    <row r="10" spans="1:13" s="15" customFormat="1" ht="12.75">
      <c r="A10" s="35" t="s">
        <v>110</v>
      </c>
      <c r="B10" s="40">
        <v>2006</v>
      </c>
      <c r="C10" s="39"/>
      <c r="D10" s="39">
        <v>2005</v>
      </c>
      <c r="E10" s="39"/>
      <c r="F10" s="39">
        <v>2004</v>
      </c>
      <c r="G10" s="39"/>
      <c r="H10" s="39">
        <v>2003</v>
      </c>
      <c r="I10" s="39"/>
      <c r="J10" s="39">
        <v>2002</v>
      </c>
      <c r="K10" s="39"/>
      <c r="L10" s="37" t="s">
        <v>113</v>
      </c>
      <c r="M10" s="37" t="s">
        <v>114</v>
      </c>
    </row>
    <row r="11" spans="1:13" s="16" customFormat="1" ht="25.5">
      <c r="A11" s="36"/>
      <c r="B11" s="34" t="s">
        <v>53</v>
      </c>
      <c r="C11" s="25" t="s">
        <v>112</v>
      </c>
      <c r="D11" s="25" t="s">
        <v>53</v>
      </c>
      <c r="E11" s="25" t="s">
        <v>112</v>
      </c>
      <c r="F11" s="25" t="s">
        <v>53</v>
      </c>
      <c r="G11" s="25" t="s">
        <v>112</v>
      </c>
      <c r="H11" s="25" t="s">
        <v>53</v>
      </c>
      <c r="I11" s="25" t="s">
        <v>112</v>
      </c>
      <c r="J11" s="25" t="s">
        <v>53</v>
      </c>
      <c r="K11" s="25" t="s">
        <v>112</v>
      </c>
      <c r="L11" s="38"/>
      <c r="M11" s="38"/>
    </row>
    <row r="12" spans="1:13" ht="12.75">
      <c r="A12" s="19" t="s">
        <v>60</v>
      </c>
      <c r="B12" s="12">
        <v>2</v>
      </c>
      <c r="C12" s="13">
        <f>72714+217250</f>
        <v>289964</v>
      </c>
      <c r="D12" s="12">
        <v>1</v>
      </c>
      <c r="E12" s="13">
        <v>499978</v>
      </c>
      <c r="F12" s="12">
        <v>1</v>
      </c>
      <c r="G12" s="13">
        <v>499869</v>
      </c>
      <c r="H12" s="14">
        <v>0</v>
      </c>
      <c r="I12" s="14">
        <v>0</v>
      </c>
      <c r="J12" s="12">
        <v>2</v>
      </c>
      <c r="K12" s="13">
        <f>233262+500000</f>
        <v>733262</v>
      </c>
      <c r="L12" s="24">
        <f aca="true" t="shared" si="0" ref="L12:L43">B12+D12+F12+H12+J12</f>
        <v>6</v>
      </c>
      <c r="M12" s="26">
        <f aca="true" t="shared" si="1" ref="M12:M43">C12+E12+G12+I12+K12</f>
        <v>2023073</v>
      </c>
    </row>
    <row r="13" spans="1:13" ht="12.75">
      <c r="A13" s="20" t="s">
        <v>61</v>
      </c>
      <c r="B13" s="7">
        <v>4</v>
      </c>
      <c r="C13" s="8">
        <f>219255+50885+490657+442827</f>
        <v>1203624</v>
      </c>
      <c r="D13" s="7">
        <v>6</v>
      </c>
      <c r="E13" s="8">
        <f>258765+500000+269892+488030+499646+412867</f>
        <v>2429200</v>
      </c>
      <c r="F13" s="7">
        <v>3</v>
      </c>
      <c r="G13" s="8">
        <f>499999+472579+411913</f>
        <v>1384491</v>
      </c>
      <c r="H13" s="7">
        <v>5</v>
      </c>
      <c r="I13" s="8">
        <f>500000+490000+500000+485732+500000</f>
        <v>2475732</v>
      </c>
      <c r="J13" s="7">
        <v>2</v>
      </c>
      <c r="K13" s="8">
        <f>500000+500000</f>
        <v>1000000</v>
      </c>
      <c r="L13" s="24">
        <f t="shared" si="0"/>
        <v>20</v>
      </c>
      <c r="M13" s="26">
        <f t="shared" si="1"/>
        <v>8493047</v>
      </c>
    </row>
    <row r="14" spans="1:13" ht="12.75">
      <c r="A14" s="20" t="s">
        <v>62</v>
      </c>
      <c r="B14" s="7">
        <v>1</v>
      </c>
      <c r="C14" s="8">
        <v>451141</v>
      </c>
      <c r="D14" s="7">
        <v>1</v>
      </c>
      <c r="E14" s="8">
        <v>458061</v>
      </c>
      <c r="F14" s="7">
        <v>1</v>
      </c>
      <c r="G14" s="8">
        <v>500000</v>
      </c>
      <c r="H14" s="7">
        <v>2</v>
      </c>
      <c r="I14" s="8">
        <f>487978+191500</f>
        <v>679478</v>
      </c>
      <c r="J14" s="7">
        <v>1</v>
      </c>
      <c r="K14" s="8">
        <v>391455</v>
      </c>
      <c r="L14" s="24">
        <f t="shared" si="0"/>
        <v>6</v>
      </c>
      <c r="M14" s="26">
        <f t="shared" si="1"/>
        <v>2480135</v>
      </c>
    </row>
    <row r="15" spans="1:13" ht="12.75">
      <c r="A15" s="20" t="s">
        <v>63</v>
      </c>
      <c r="B15" s="7">
        <v>5</v>
      </c>
      <c r="C15" s="8">
        <f>213184+173650+118350+497917+137255</f>
        <v>1140356</v>
      </c>
      <c r="D15" s="7">
        <v>2</v>
      </c>
      <c r="E15" s="8">
        <f>420505+341297</f>
        <v>761802</v>
      </c>
      <c r="F15" s="7">
        <v>3</v>
      </c>
      <c r="G15" s="8">
        <f>361687+461521+408442</f>
        <v>1231650</v>
      </c>
      <c r="H15" s="7">
        <v>2</v>
      </c>
      <c r="I15" s="8">
        <f>425820+354850</f>
        <v>780670</v>
      </c>
      <c r="J15" s="7">
        <v>1</v>
      </c>
      <c r="K15" s="8">
        <v>500000</v>
      </c>
      <c r="L15" s="24">
        <f t="shared" si="0"/>
        <v>13</v>
      </c>
      <c r="M15" s="26">
        <f t="shared" si="1"/>
        <v>4414478</v>
      </c>
    </row>
    <row r="16" spans="1:13" ht="12.75">
      <c r="A16" s="20" t="s">
        <v>64</v>
      </c>
      <c r="B16" s="7">
        <v>1</v>
      </c>
      <c r="C16" s="8">
        <v>60231</v>
      </c>
      <c r="D16" s="7">
        <v>1</v>
      </c>
      <c r="E16" s="8">
        <v>205833</v>
      </c>
      <c r="F16" s="7">
        <v>1</v>
      </c>
      <c r="G16" s="8">
        <v>447752</v>
      </c>
      <c r="H16" s="7">
        <v>2</v>
      </c>
      <c r="I16" s="8">
        <f>321555+500000</f>
        <v>821555</v>
      </c>
      <c r="J16" s="7">
        <v>2</v>
      </c>
      <c r="K16" s="8">
        <f>479235+500000</f>
        <v>979235</v>
      </c>
      <c r="L16" s="24">
        <f t="shared" si="0"/>
        <v>7</v>
      </c>
      <c r="M16" s="26">
        <f t="shared" si="1"/>
        <v>2514606</v>
      </c>
    </row>
    <row r="17" spans="1:13" ht="12.75">
      <c r="A17" s="20" t="s">
        <v>65</v>
      </c>
      <c r="B17" s="7">
        <v>2</v>
      </c>
      <c r="C17" s="8">
        <f>430271+240997</f>
        <v>671268</v>
      </c>
      <c r="D17" s="7">
        <v>1</v>
      </c>
      <c r="E17" s="8">
        <v>338892</v>
      </c>
      <c r="F17" s="7">
        <v>1</v>
      </c>
      <c r="G17" s="8">
        <v>452154</v>
      </c>
      <c r="H17" s="7">
        <v>1</v>
      </c>
      <c r="I17" s="8">
        <v>145914</v>
      </c>
      <c r="J17" s="7">
        <v>1</v>
      </c>
      <c r="K17" s="8">
        <v>500000</v>
      </c>
      <c r="L17" s="24">
        <f t="shared" si="0"/>
        <v>6</v>
      </c>
      <c r="M17" s="26">
        <f t="shared" si="1"/>
        <v>2108228</v>
      </c>
    </row>
    <row r="18" spans="1:13" ht="12.75">
      <c r="A18" s="20" t="s">
        <v>66</v>
      </c>
      <c r="B18" s="7">
        <v>0</v>
      </c>
      <c r="C18" s="8">
        <v>0</v>
      </c>
      <c r="D18" s="7">
        <v>0</v>
      </c>
      <c r="E18" s="8">
        <v>0</v>
      </c>
      <c r="F18" s="7">
        <v>0</v>
      </c>
      <c r="G18" s="8">
        <v>0</v>
      </c>
      <c r="H18" s="7">
        <v>0</v>
      </c>
      <c r="I18" s="8">
        <v>0</v>
      </c>
      <c r="J18" s="7">
        <v>0</v>
      </c>
      <c r="K18" s="8">
        <v>0</v>
      </c>
      <c r="L18" s="24">
        <f t="shared" si="0"/>
        <v>0</v>
      </c>
      <c r="M18" s="26">
        <f t="shared" si="1"/>
        <v>0</v>
      </c>
    </row>
    <row r="19" spans="1:13" ht="12.75">
      <c r="A19" s="20" t="s">
        <v>67</v>
      </c>
      <c r="B19" s="7">
        <v>0</v>
      </c>
      <c r="C19" s="8">
        <v>0</v>
      </c>
      <c r="D19" s="7">
        <v>0</v>
      </c>
      <c r="E19" s="8">
        <v>0</v>
      </c>
      <c r="F19" s="7">
        <v>1</v>
      </c>
      <c r="G19" s="8">
        <v>78156</v>
      </c>
      <c r="H19" s="7">
        <v>0</v>
      </c>
      <c r="I19" s="8">
        <v>0</v>
      </c>
      <c r="J19" s="7">
        <v>0</v>
      </c>
      <c r="K19" s="8">
        <v>0</v>
      </c>
      <c r="L19" s="24">
        <f t="shared" si="0"/>
        <v>1</v>
      </c>
      <c r="M19" s="26">
        <f t="shared" si="1"/>
        <v>78156</v>
      </c>
    </row>
    <row r="20" spans="1:13" ht="12.75">
      <c r="A20" s="20" t="s">
        <v>68</v>
      </c>
      <c r="B20" s="7">
        <v>0</v>
      </c>
      <c r="C20" s="8">
        <v>0</v>
      </c>
      <c r="D20" s="7">
        <v>0</v>
      </c>
      <c r="E20" s="8">
        <v>0</v>
      </c>
      <c r="F20" s="7">
        <v>1</v>
      </c>
      <c r="G20" s="8">
        <v>236180</v>
      </c>
      <c r="H20" s="7">
        <v>2</v>
      </c>
      <c r="I20" s="8">
        <f>237975+239326</f>
        <v>477301</v>
      </c>
      <c r="J20" s="7">
        <v>1</v>
      </c>
      <c r="K20" s="8">
        <v>481410</v>
      </c>
      <c r="L20" s="24">
        <f t="shared" si="0"/>
        <v>4</v>
      </c>
      <c r="M20" s="26">
        <f t="shared" si="1"/>
        <v>1194891</v>
      </c>
    </row>
    <row r="21" spans="1:13" ht="12.75">
      <c r="A21" s="20" t="s">
        <v>69</v>
      </c>
      <c r="B21" s="7">
        <v>1</v>
      </c>
      <c r="C21" s="8">
        <v>489085</v>
      </c>
      <c r="D21" s="7">
        <v>1</v>
      </c>
      <c r="E21" s="8">
        <v>498252</v>
      </c>
      <c r="F21" s="7">
        <v>1</v>
      </c>
      <c r="G21" s="8">
        <v>176774</v>
      </c>
      <c r="H21" s="7">
        <v>2</v>
      </c>
      <c r="I21" s="8">
        <f>62000+499515</f>
        <v>561515</v>
      </c>
      <c r="J21" s="7">
        <v>1</v>
      </c>
      <c r="K21" s="8">
        <v>499100</v>
      </c>
      <c r="L21" s="24">
        <f t="shared" si="0"/>
        <v>6</v>
      </c>
      <c r="M21" s="26">
        <f t="shared" si="1"/>
        <v>2224726</v>
      </c>
    </row>
    <row r="22" spans="1:13" ht="12.75">
      <c r="A22" s="20" t="s">
        <v>70</v>
      </c>
      <c r="B22" s="7">
        <v>1</v>
      </c>
      <c r="C22" s="8">
        <v>431999</v>
      </c>
      <c r="D22" s="7">
        <v>1</v>
      </c>
      <c r="E22" s="8">
        <v>387743</v>
      </c>
      <c r="F22" s="7">
        <v>1</v>
      </c>
      <c r="G22" s="8">
        <v>500000</v>
      </c>
      <c r="H22" s="7">
        <v>1</v>
      </c>
      <c r="I22" s="8">
        <v>283500</v>
      </c>
      <c r="J22" s="7">
        <v>0</v>
      </c>
      <c r="K22" s="8">
        <v>0</v>
      </c>
      <c r="L22" s="24">
        <f t="shared" si="0"/>
        <v>4</v>
      </c>
      <c r="M22" s="26">
        <f t="shared" si="1"/>
        <v>1603242</v>
      </c>
    </row>
    <row r="23" spans="1:13" ht="12.75">
      <c r="A23" s="20" t="s">
        <v>71</v>
      </c>
      <c r="B23" s="7">
        <v>1</v>
      </c>
      <c r="C23" s="8">
        <v>143860</v>
      </c>
      <c r="D23" s="7">
        <v>1</v>
      </c>
      <c r="E23" s="8">
        <v>289369</v>
      </c>
      <c r="F23" s="7">
        <v>1</v>
      </c>
      <c r="G23" s="8">
        <v>500000</v>
      </c>
      <c r="H23" s="7">
        <v>2</v>
      </c>
      <c r="I23" s="8">
        <f>403500+82866</f>
        <v>486366</v>
      </c>
      <c r="J23" s="7">
        <v>1</v>
      </c>
      <c r="K23" s="8">
        <v>500000</v>
      </c>
      <c r="L23" s="24">
        <f t="shared" si="0"/>
        <v>6</v>
      </c>
      <c r="M23" s="26">
        <f t="shared" si="1"/>
        <v>1919595</v>
      </c>
    </row>
    <row r="24" spans="1:13" ht="12.75">
      <c r="A24" s="20" t="s">
        <v>72</v>
      </c>
      <c r="B24" s="7">
        <v>1</v>
      </c>
      <c r="C24" s="8">
        <v>237800</v>
      </c>
      <c r="D24" s="7">
        <v>1</v>
      </c>
      <c r="E24" s="8">
        <v>294678</v>
      </c>
      <c r="F24" s="7">
        <v>1</v>
      </c>
      <c r="G24" s="8">
        <v>310000</v>
      </c>
      <c r="H24" s="7">
        <v>1</v>
      </c>
      <c r="I24" s="8">
        <v>388700</v>
      </c>
      <c r="J24" s="7">
        <v>0</v>
      </c>
      <c r="K24" s="8">
        <v>0</v>
      </c>
      <c r="L24" s="24">
        <f t="shared" si="0"/>
        <v>4</v>
      </c>
      <c r="M24" s="26">
        <f t="shared" si="1"/>
        <v>1231178</v>
      </c>
    </row>
    <row r="25" spans="1:13" ht="12.75">
      <c r="A25" s="20" t="s">
        <v>73</v>
      </c>
      <c r="B25" s="7">
        <v>0</v>
      </c>
      <c r="C25" s="8">
        <v>0</v>
      </c>
      <c r="D25" s="7">
        <v>2</v>
      </c>
      <c r="E25" s="8">
        <f>205706+389599</f>
        <v>595305</v>
      </c>
      <c r="F25" s="7">
        <v>1</v>
      </c>
      <c r="G25" s="8">
        <v>370416</v>
      </c>
      <c r="H25" s="7">
        <v>1</v>
      </c>
      <c r="I25" s="8">
        <v>500000</v>
      </c>
      <c r="J25" s="7">
        <v>0</v>
      </c>
      <c r="K25" s="8">
        <v>0</v>
      </c>
      <c r="L25" s="24">
        <f t="shared" si="0"/>
        <v>4</v>
      </c>
      <c r="M25" s="26">
        <f t="shared" si="1"/>
        <v>1465721</v>
      </c>
    </row>
    <row r="26" spans="1:13" ht="12.75">
      <c r="A26" s="20" t="s">
        <v>74</v>
      </c>
      <c r="B26" s="7">
        <v>0</v>
      </c>
      <c r="C26" s="8">
        <v>0</v>
      </c>
      <c r="D26" s="7">
        <v>1</v>
      </c>
      <c r="E26" s="8">
        <v>198000</v>
      </c>
      <c r="F26" s="7">
        <v>1</v>
      </c>
      <c r="G26" s="8">
        <v>422278</v>
      </c>
      <c r="H26" s="7">
        <v>1</v>
      </c>
      <c r="I26" s="8">
        <v>287362</v>
      </c>
      <c r="J26" s="7">
        <v>0</v>
      </c>
      <c r="K26" s="8">
        <v>0</v>
      </c>
      <c r="L26" s="24">
        <f t="shared" si="0"/>
        <v>3</v>
      </c>
      <c r="M26" s="26">
        <f t="shared" si="1"/>
        <v>907640</v>
      </c>
    </row>
    <row r="27" spans="1:13" ht="12.75">
      <c r="A27" s="20" t="s">
        <v>75</v>
      </c>
      <c r="B27" s="7">
        <v>1</v>
      </c>
      <c r="C27" s="8">
        <v>297045</v>
      </c>
      <c r="D27" s="7">
        <v>2</v>
      </c>
      <c r="E27" s="8">
        <f>492076+499920</f>
        <v>991996</v>
      </c>
      <c r="F27" s="7">
        <v>1</v>
      </c>
      <c r="G27" s="8">
        <v>198000</v>
      </c>
      <c r="H27" s="7">
        <v>2</v>
      </c>
      <c r="I27" s="8">
        <f>442860+456239</f>
        <v>899099</v>
      </c>
      <c r="J27" s="7">
        <v>2</v>
      </c>
      <c r="K27" s="8">
        <f>69550+195000</f>
        <v>264550</v>
      </c>
      <c r="L27" s="24">
        <f t="shared" si="0"/>
        <v>8</v>
      </c>
      <c r="M27" s="26">
        <f t="shared" si="1"/>
        <v>2650690</v>
      </c>
    </row>
    <row r="28" spans="1:13" ht="12.75">
      <c r="A28" s="20" t="s">
        <v>76</v>
      </c>
      <c r="B28" s="7">
        <v>4</v>
      </c>
      <c r="C28" s="8">
        <f>484851+91078+326893+105082</f>
        <v>1007904</v>
      </c>
      <c r="D28" s="7">
        <v>0</v>
      </c>
      <c r="E28" s="8">
        <v>0</v>
      </c>
      <c r="F28" s="7">
        <v>2</v>
      </c>
      <c r="G28" s="8">
        <f>499153+235636</f>
        <v>734789</v>
      </c>
      <c r="H28" s="7">
        <v>1</v>
      </c>
      <c r="I28" s="8">
        <v>74661</v>
      </c>
      <c r="J28" s="7">
        <v>1</v>
      </c>
      <c r="K28" s="8">
        <v>90300</v>
      </c>
      <c r="L28" s="24">
        <f t="shared" si="0"/>
        <v>8</v>
      </c>
      <c r="M28" s="26">
        <f t="shared" si="1"/>
        <v>1907654</v>
      </c>
    </row>
    <row r="29" spans="1:13" ht="12.75">
      <c r="A29" s="20" t="s">
        <v>77</v>
      </c>
      <c r="B29" s="7">
        <v>2</v>
      </c>
      <c r="C29" s="8">
        <f>500000+122015</f>
        <v>622015</v>
      </c>
      <c r="D29" s="7">
        <v>0</v>
      </c>
      <c r="E29" s="8">
        <v>0</v>
      </c>
      <c r="F29" s="7">
        <v>1</v>
      </c>
      <c r="G29" s="8">
        <v>500000</v>
      </c>
      <c r="H29" s="7">
        <v>1</v>
      </c>
      <c r="I29" s="8">
        <v>262000</v>
      </c>
      <c r="J29" s="7">
        <v>1</v>
      </c>
      <c r="K29" s="8">
        <v>67360</v>
      </c>
      <c r="L29" s="24">
        <f t="shared" si="0"/>
        <v>5</v>
      </c>
      <c r="M29" s="26">
        <f t="shared" si="1"/>
        <v>1451375</v>
      </c>
    </row>
    <row r="30" spans="1:13" ht="12.75">
      <c r="A30" s="20" t="s">
        <v>78</v>
      </c>
      <c r="B30" s="7">
        <v>9</v>
      </c>
      <c r="C30" s="8">
        <f>500000+350881+454079+259857+249965+434409+60000+461369+127900</f>
        <v>2898460</v>
      </c>
      <c r="D30" s="7">
        <v>2</v>
      </c>
      <c r="E30" s="8">
        <f>107450+500000</f>
        <v>607450</v>
      </c>
      <c r="F30" s="7">
        <v>1</v>
      </c>
      <c r="G30" s="8">
        <v>264448</v>
      </c>
      <c r="H30" s="7">
        <v>3</v>
      </c>
      <c r="I30" s="8">
        <f>500000+221620+500000</f>
        <v>1221620</v>
      </c>
      <c r="J30" s="7">
        <v>4</v>
      </c>
      <c r="K30" s="8">
        <f>500000+214956+162543+494750</f>
        <v>1372249</v>
      </c>
      <c r="L30" s="24">
        <f t="shared" si="0"/>
        <v>19</v>
      </c>
      <c r="M30" s="26">
        <f t="shared" si="1"/>
        <v>6364227</v>
      </c>
    </row>
    <row r="31" spans="1:13" ht="12.75">
      <c r="A31" s="20" t="s">
        <v>79</v>
      </c>
      <c r="B31" s="7">
        <v>0</v>
      </c>
      <c r="C31" s="8">
        <v>0</v>
      </c>
      <c r="D31" s="7">
        <v>0</v>
      </c>
      <c r="E31" s="8">
        <v>0</v>
      </c>
      <c r="F31" s="7">
        <v>0</v>
      </c>
      <c r="G31" s="8">
        <v>0</v>
      </c>
      <c r="H31" s="7">
        <v>1</v>
      </c>
      <c r="I31" s="8">
        <v>239482</v>
      </c>
      <c r="J31" s="7">
        <v>0</v>
      </c>
      <c r="K31" s="8">
        <v>0</v>
      </c>
      <c r="L31" s="24">
        <f t="shared" si="0"/>
        <v>1</v>
      </c>
      <c r="M31" s="26">
        <f t="shared" si="1"/>
        <v>239482</v>
      </c>
    </row>
    <row r="32" spans="1:13" ht="12.75">
      <c r="A32" s="20" t="s">
        <v>80</v>
      </c>
      <c r="B32" s="7">
        <v>0</v>
      </c>
      <c r="C32" s="8">
        <v>0</v>
      </c>
      <c r="D32" s="7">
        <v>0</v>
      </c>
      <c r="E32" s="8">
        <v>0</v>
      </c>
      <c r="F32" s="7">
        <v>1</v>
      </c>
      <c r="G32" s="8">
        <v>471197</v>
      </c>
      <c r="H32" s="7">
        <v>1</v>
      </c>
      <c r="I32" s="8">
        <v>210101</v>
      </c>
      <c r="J32" s="7">
        <v>0</v>
      </c>
      <c r="K32" s="8">
        <v>0</v>
      </c>
      <c r="L32" s="24">
        <f t="shared" si="0"/>
        <v>2</v>
      </c>
      <c r="M32" s="26">
        <f t="shared" si="1"/>
        <v>681298</v>
      </c>
    </row>
    <row r="33" spans="1:13" ht="12.75">
      <c r="A33" s="20" t="s">
        <v>81</v>
      </c>
      <c r="B33" s="7">
        <v>5</v>
      </c>
      <c r="C33" s="8">
        <f>412722+106211+218800+500000+159691</f>
        <v>1397424</v>
      </c>
      <c r="D33" s="7">
        <v>4</v>
      </c>
      <c r="E33" s="8">
        <f>421872+350000+321020+200015</f>
        <v>1292907</v>
      </c>
      <c r="F33" s="7">
        <v>3</v>
      </c>
      <c r="G33" s="8">
        <f>215519+446865+176421</f>
        <v>838805</v>
      </c>
      <c r="H33" s="7">
        <v>4</v>
      </c>
      <c r="I33" s="8">
        <f>369121+496588+334462+354005</f>
        <v>1554176</v>
      </c>
      <c r="J33" s="7">
        <v>1</v>
      </c>
      <c r="K33" s="8">
        <v>368183</v>
      </c>
      <c r="L33" s="24">
        <f t="shared" si="0"/>
        <v>17</v>
      </c>
      <c r="M33" s="26">
        <f t="shared" si="1"/>
        <v>5451495</v>
      </c>
    </row>
    <row r="34" spans="1:13" ht="12.75">
      <c r="A34" s="20" t="s">
        <v>82</v>
      </c>
      <c r="B34" s="7">
        <v>2</v>
      </c>
      <c r="C34" s="8">
        <f>232302+210675</f>
        <v>442977</v>
      </c>
      <c r="D34" s="7">
        <v>3</v>
      </c>
      <c r="E34" s="8">
        <f>500000+102100+475022</f>
        <v>1077122</v>
      </c>
      <c r="F34" s="7">
        <v>1</v>
      </c>
      <c r="G34" s="8">
        <v>482791</v>
      </c>
      <c r="H34" s="7">
        <v>2</v>
      </c>
      <c r="I34" s="8">
        <f>494115+472239</f>
        <v>966354</v>
      </c>
      <c r="J34" s="7">
        <v>2</v>
      </c>
      <c r="K34" s="8">
        <f>207720+200000</f>
        <v>407720</v>
      </c>
      <c r="L34" s="24">
        <f t="shared" si="0"/>
        <v>10</v>
      </c>
      <c r="M34" s="26">
        <f t="shared" si="1"/>
        <v>3376964</v>
      </c>
    </row>
    <row r="35" spans="1:13" ht="12.75">
      <c r="A35" s="20" t="s">
        <v>83</v>
      </c>
      <c r="B35" s="7">
        <v>4</v>
      </c>
      <c r="C35" s="8">
        <f>406868+177339+383704+192500</f>
        <v>1160411</v>
      </c>
      <c r="D35" s="7">
        <v>1</v>
      </c>
      <c r="E35" s="8">
        <v>500000</v>
      </c>
      <c r="F35" s="7">
        <v>3</v>
      </c>
      <c r="G35" s="8">
        <f>500000+500000+500000</f>
        <v>1500000</v>
      </c>
      <c r="H35" s="7">
        <v>3</v>
      </c>
      <c r="I35" s="8">
        <f>500000+500000+500000</f>
        <v>1500000</v>
      </c>
      <c r="J35" s="7">
        <v>3</v>
      </c>
      <c r="K35" s="8">
        <f>500000+193930+500000</f>
        <v>1193930</v>
      </c>
      <c r="L35" s="24">
        <f t="shared" si="0"/>
        <v>14</v>
      </c>
      <c r="M35" s="26">
        <f t="shared" si="1"/>
        <v>5854341</v>
      </c>
    </row>
    <row r="36" spans="1:13" ht="12.75">
      <c r="A36" s="20" t="s">
        <v>84</v>
      </c>
      <c r="B36" s="7">
        <v>4</v>
      </c>
      <c r="C36" s="8">
        <f>85718+207496+52969+51226</f>
        <v>397409</v>
      </c>
      <c r="D36" s="7">
        <v>1</v>
      </c>
      <c r="E36" s="8">
        <v>432265</v>
      </c>
      <c r="F36" s="7">
        <v>1</v>
      </c>
      <c r="G36" s="8">
        <v>389809</v>
      </c>
      <c r="H36" s="7">
        <v>1</v>
      </c>
      <c r="I36" s="8">
        <v>89928</v>
      </c>
      <c r="J36" s="7">
        <v>1</v>
      </c>
      <c r="K36" s="8">
        <v>464492</v>
      </c>
      <c r="L36" s="24">
        <f t="shared" si="0"/>
        <v>8</v>
      </c>
      <c r="M36" s="26">
        <f t="shared" si="1"/>
        <v>1773903</v>
      </c>
    </row>
    <row r="37" spans="1:13" ht="12.75">
      <c r="A37" s="20" t="s">
        <v>85</v>
      </c>
      <c r="B37" s="7">
        <v>0</v>
      </c>
      <c r="C37" s="8">
        <v>0</v>
      </c>
      <c r="D37" s="7">
        <v>1</v>
      </c>
      <c r="E37" s="8">
        <v>134947</v>
      </c>
      <c r="F37" s="7">
        <v>1</v>
      </c>
      <c r="G37" s="8">
        <v>500000</v>
      </c>
      <c r="H37" s="7">
        <v>1</v>
      </c>
      <c r="I37" s="8">
        <v>404086</v>
      </c>
      <c r="J37" s="7">
        <v>3</v>
      </c>
      <c r="K37" s="8">
        <f>430071+398785+209300</f>
        <v>1038156</v>
      </c>
      <c r="L37" s="24">
        <f t="shared" si="0"/>
        <v>6</v>
      </c>
      <c r="M37" s="26">
        <f t="shared" si="1"/>
        <v>2077189</v>
      </c>
    </row>
    <row r="38" spans="1:13" ht="12.75">
      <c r="A38" s="20" t="s">
        <v>86</v>
      </c>
      <c r="B38" s="7">
        <v>6</v>
      </c>
      <c r="C38" s="8">
        <f>118079+481681+194000+484684+384803+123866</f>
        <v>1787113</v>
      </c>
      <c r="D38" s="7">
        <v>2</v>
      </c>
      <c r="E38" s="8">
        <f>378800+183100</f>
        <v>561900</v>
      </c>
      <c r="F38" s="7">
        <v>1</v>
      </c>
      <c r="G38" s="8">
        <v>284766</v>
      </c>
      <c r="H38" s="7">
        <v>1</v>
      </c>
      <c r="I38" s="8">
        <v>153300</v>
      </c>
      <c r="J38" s="7">
        <v>2</v>
      </c>
      <c r="K38" s="8">
        <f>164640+484000</f>
        <v>648640</v>
      </c>
      <c r="L38" s="24">
        <f t="shared" si="0"/>
        <v>12</v>
      </c>
      <c r="M38" s="26">
        <f t="shared" si="1"/>
        <v>3435719</v>
      </c>
    </row>
    <row r="39" spans="1:13" ht="12.75">
      <c r="A39" s="20" t="s">
        <v>87</v>
      </c>
      <c r="B39" s="7">
        <v>0</v>
      </c>
      <c r="C39" s="8">
        <v>0</v>
      </c>
      <c r="D39" s="7">
        <v>2</v>
      </c>
      <c r="E39" s="8">
        <f>474872+500000</f>
        <v>974872</v>
      </c>
      <c r="F39" s="7">
        <v>1</v>
      </c>
      <c r="G39" s="8">
        <v>493544</v>
      </c>
      <c r="H39" s="7">
        <v>0</v>
      </c>
      <c r="I39" s="8">
        <v>0</v>
      </c>
      <c r="J39" s="7">
        <v>0</v>
      </c>
      <c r="K39" s="8">
        <v>0</v>
      </c>
      <c r="L39" s="24">
        <f t="shared" si="0"/>
        <v>3</v>
      </c>
      <c r="M39" s="26">
        <f t="shared" si="1"/>
        <v>1468416</v>
      </c>
    </row>
    <row r="40" spans="1:13" ht="12.75">
      <c r="A40" s="20" t="s">
        <v>88</v>
      </c>
      <c r="B40" s="7">
        <v>2</v>
      </c>
      <c r="C40" s="8">
        <f>61977+359563</f>
        <v>421540</v>
      </c>
      <c r="D40" s="7">
        <v>2</v>
      </c>
      <c r="E40" s="8">
        <f>499330+327100</f>
        <v>826430</v>
      </c>
      <c r="F40" s="7">
        <v>1</v>
      </c>
      <c r="G40" s="8">
        <v>499965</v>
      </c>
      <c r="H40" s="7">
        <v>1</v>
      </c>
      <c r="I40" s="8">
        <v>499996</v>
      </c>
      <c r="J40" s="7">
        <v>0</v>
      </c>
      <c r="K40" s="8">
        <v>0</v>
      </c>
      <c r="L40" s="24">
        <f t="shared" si="0"/>
        <v>6</v>
      </c>
      <c r="M40" s="26">
        <f t="shared" si="1"/>
        <v>2247931</v>
      </c>
    </row>
    <row r="41" spans="1:13" ht="12.75">
      <c r="A41" s="20" t="s">
        <v>89</v>
      </c>
      <c r="B41" s="7">
        <v>0</v>
      </c>
      <c r="C41" s="8">
        <v>0</v>
      </c>
      <c r="D41" s="7">
        <v>0</v>
      </c>
      <c r="E41" s="8">
        <v>0</v>
      </c>
      <c r="F41" s="7">
        <v>1</v>
      </c>
      <c r="G41" s="8">
        <v>497906</v>
      </c>
      <c r="H41" s="7">
        <v>0</v>
      </c>
      <c r="I41" s="8">
        <v>0</v>
      </c>
      <c r="J41" s="7">
        <v>0</v>
      </c>
      <c r="K41" s="8">
        <v>0</v>
      </c>
      <c r="L41" s="24">
        <f t="shared" si="0"/>
        <v>1</v>
      </c>
      <c r="M41" s="26">
        <f t="shared" si="1"/>
        <v>497906</v>
      </c>
    </row>
    <row r="42" spans="1:13" ht="12.75">
      <c r="A42" s="20" t="s">
        <v>90</v>
      </c>
      <c r="B42" s="7">
        <v>2</v>
      </c>
      <c r="C42" s="8">
        <f>154939+130505</f>
        <v>285444</v>
      </c>
      <c r="D42" s="7">
        <v>2</v>
      </c>
      <c r="E42" s="8">
        <f>454668+486100</f>
        <v>940768</v>
      </c>
      <c r="F42" s="7">
        <v>3</v>
      </c>
      <c r="G42" s="8">
        <f>490910+500000+398936</f>
        <v>1389846</v>
      </c>
      <c r="H42" s="7">
        <v>1</v>
      </c>
      <c r="I42" s="8">
        <v>478555</v>
      </c>
      <c r="J42" s="7">
        <v>1</v>
      </c>
      <c r="K42" s="8">
        <v>432526</v>
      </c>
      <c r="L42" s="24">
        <f t="shared" si="0"/>
        <v>9</v>
      </c>
      <c r="M42" s="26">
        <f t="shared" si="1"/>
        <v>3527139</v>
      </c>
    </row>
    <row r="43" spans="1:13" ht="12.75">
      <c r="A43" s="20" t="s">
        <v>91</v>
      </c>
      <c r="B43" s="7">
        <v>4</v>
      </c>
      <c r="C43" s="8">
        <f>500000+265148+497411+338971</f>
        <v>1601530</v>
      </c>
      <c r="D43" s="7">
        <v>5</v>
      </c>
      <c r="E43" s="8">
        <f>252948+136035+446232+467635+468853</f>
        <v>1771703</v>
      </c>
      <c r="F43" s="7">
        <v>1</v>
      </c>
      <c r="G43" s="8">
        <v>498979</v>
      </c>
      <c r="H43" s="7">
        <v>3</v>
      </c>
      <c r="I43" s="8">
        <f>500000+499800+500000</f>
        <v>1499800</v>
      </c>
      <c r="J43" s="7">
        <v>5</v>
      </c>
      <c r="K43" s="8">
        <f>499800+190279+335000+476650+400998</f>
        <v>1902727</v>
      </c>
      <c r="L43" s="24">
        <f t="shared" si="0"/>
        <v>18</v>
      </c>
      <c r="M43" s="26">
        <f t="shared" si="1"/>
        <v>7274739</v>
      </c>
    </row>
    <row r="44" spans="1:13" ht="12.75">
      <c r="A44" s="20" t="s">
        <v>92</v>
      </c>
      <c r="B44" s="7">
        <v>3</v>
      </c>
      <c r="C44" s="8">
        <f>84066+50370+61494</f>
        <v>195930</v>
      </c>
      <c r="D44" s="7">
        <v>1</v>
      </c>
      <c r="E44" s="8">
        <v>114211</v>
      </c>
      <c r="F44" s="7">
        <v>1</v>
      </c>
      <c r="G44" s="8">
        <v>445143</v>
      </c>
      <c r="H44" s="7">
        <v>1</v>
      </c>
      <c r="I44" s="8">
        <v>345733</v>
      </c>
      <c r="J44" s="7">
        <v>0</v>
      </c>
      <c r="K44" s="8">
        <v>0</v>
      </c>
      <c r="L44" s="24">
        <f aca="true" t="shared" si="2" ref="L44:L61">B44+D44+F44+H44+J44</f>
        <v>6</v>
      </c>
      <c r="M44" s="26">
        <f aca="true" t="shared" si="3" ref="M44:M61">C44+E44+G44+I44+K44</f>
        <v>1101017</v>
      </c>
    </row>
    <row r="45" spans="1:13" ht="12.75">
      <c r="A45" s="20" t="s">
        <v>93</v>
      </c>
      <c r="B45" s="7">
        <v>2</v>
      </c>
      <c r="C45" s="8">
        <f>343611+119006</f>
        <v>462617</v>
      </c>
      <c r="D45" s="7">
        <v>0</v>
      </c>
      <c r="E45" s="8">
        <v>0</v>
      </c>
      <c r="F45" s="7">
        <v>1</v>
      </c>
      <c r="G45" s="8">
        <v>395747</v>
      </c>
      <c r="H45" s="7">
        <v>0</v>
      </c>
      <c r="I45" s="8">
        <v>0</v>
      </c>
      <c r="J45" s="7">
        <v>0</v>
      </c>
      <c r="K45" s="8">
        <v>0</v>
      </c>
      <c r="L45" s="24">
        <f t="shared" si="2"/>
        <v>3</v>
      </c>
      <c r="M45" s="26">
        <f t="shared" si="3"/>
        <v>858364</v>
      </c>
    </row>
    <row r="46" spans="1:13" ht="12.75">
      <c r="A46" s="20" t="s">
        <v>94</v>
      </c>
      <c r="B46" s="7">
        <v>2</v>
      </c>
      <c r="C46" s="8">
        <f>277722+247511</f>
        <v>525233</v>
      </c>
      <c r="D46" s="7">
        <v>2</v>
      </c>
      <c r="E46" s="8">
        <f>141812+339641</f>
        <v>481453</v>
      </c>
      <c r="F46" s="7">
        <v>1</v>
      </c>
      <c r="G46" s="8">
        <v>300000</v>
      </c>
      <c r="H46" s="7">
        <v>1</v>
      </c>
      <c r="I46" s="8">
        <v>446142</v>
      </c>
      <c r="J46" s="7">
        <v>2</v>
      </c>
      <c r="K46" s="8">
        <f>213530+482518</f>
        <v>696048</v>
      </c>
      <c r="L46" s="24">
        <f t="shared" si="2"/>
        <v>8</v>
      </c>
      <c r="M46" s="26">
        <f t="shared" si="3"/>
        <v>2448876</v>
      </c>
    </row>
    <row r="47" spans="1:13" ht="12.75">
      <c r="A47" s="20" t="s">
        <v>95</v>
      </c>
      <c r="B47" s="7">
        <v>3</v>
      </c>
      <c r="C47" s="8">
        <f>242167+499000+230546</f>
        <v>971713</v>
      </c>
      <c r="D47" s="7">
        <v>5</v>
      </c>
      <c r="E47" s="8">
        <f>304542+346325+486050+485490+498148</f>
        <v>2120555</v>
      </c>
      <c r="F47" s="7">
        <v>3</v>
      </c>
      <c r="G47" s="8">
        <f>497500+157937+359439</f>
        <v>1014876</v>
      </c>
      <c r="H47" s="7">
        <v>5</v>
      </c>
      <c r="I47" s="8">
        <f>484296+498735+166950+476424+495200</f>
        <v>2121605</v>
      </c>
      <c r="J47" s="7">
        <v>5</v>
      </c>
      <c r="K47" s="8">
        <f>497000+309778+415696+498000+486928</f>
        <v>2207402</v>
      </c>
      <c r="L47" s="24">
        <f t="shared" si="2"/>
        <v>21</v>
      </c>
      <c r="M47" s="26">
        <f t="shared" si="3"/>
        <v>8436151</v>
      </c>
    </row>
    <row r="48" spans="1:13" ht="12.75">
      <c r="A48" s="20" t="s">
        <v>96</v>
      </c>
      <c r="B48" s="7">
        <v>2</v>
      </c>
      <c r="C48" s="8">
        <f>220399+188740</f>
        <v>409139</v>
      </c>
      <c r="D48" s="7">
        <v>2</v>
      </c>
      <c r="E48" s="8">
        <f>499165+53885</f>
        <v>553050</v>
      </c>
      <c r="F48" s="7">
        <v>1</v>
      </c>
      <c r="G48" s="8">
        <v>431302</v>
      </c>
      <c r="H48" s="7">
        <v>3</v>
      </c>
      <c r="I48" s="8">
        <f>237137+500000+233548</f>
        <v>970685</v>
      </c>
      <c r="J48" s="7">
        <v>2</v>
      </c>
      <c r="K48" s="8">
        <f>286486+317687</f>
        <v>604173</v>
      </c>
      <c r="L48" s="24">
        <f t="shared" si="2"/>
        <v>10</v>
      </c>
      <c r="M48" s="26">
        <f t="shared" si="3"/>
        <v>2968349</v>
      </c>
    </row>
    <row r="49" spans="1:13" ht="12.75">
      <c r="A49" s="20" t="s">
        <v>97</v>
      </c>
      <c r="B49" s="7">
        <v>6</v>
      </c>
      <c r="C49" s="8">
        <f>500000+62900+109940+155213+197927+205631</f>
        <v>1231611</v>
      </c>
      <c r="D49" s="7">
        <v>2</v>
      </c>
      <c r="E49" s="8">
        <f>392950+110575</f>
        <v>503525</v>
      </c>
      <c r="F49" s="7">
        <v>1</v>
      </c>
      <c r="G49" s="8">
        <v>500000</v>
      </c>
      <c r="H49" s="7">
        <v>3</v>
      </c>
      <c r="I49" s="8">
        <f>500000+500000+500000</f>
        <v>1500000</v>
      </c>
      <c r="J49" s="7">
        <v>4</v>
      </c>
      <c r="K49" s="8">
        <f>500000+456647+500000+500000</f>
        <v>1956647</v>
      </c>
      <c r="L49" s="24">
        <f t="shared" si="2"/>
        <v>16</v>
      </c>
      <c r="M49" s="26">
        <f t="shared" si="3"/>
        <v>5691783</v>
      </c>
    </row>
    <row r="50" spans="1:13" ht="12.75">
      <c r="A50" s="20" t="s">
        <v>98</v>
      </c>
      <c r="B50" s="7">
        <v>0</v>
      </c>
      <c r="C50" s="8">
        <v>0</v>
      </c>
      <c r="D50" s="7">
        <v>0</v>
      </c>
      <c r="E50" s="8">
        <v>0</v>
      </c>
      <c r="F50" s="7">
        <v>0</v>
      </c>
      <c r="G50" s="8">
        <v>0</v>
      </c>
      <c r="H50" s="7">
        <v>0</v>
      </c>
      <c r="I50" s="8">
        <v>0</v>
      </c>
      <c r="J50" s="7">
        <v>0</v>
      </c>
      <c r="K50" s="8">
        <v>0</v>
      </c>
      <c r="L50" s="24">
        <f t="shared" si="2"/>
        <v>0</v>
      </c>
      <c r="M50" s="26">
        <f t="shared" si="3"/>
        <v>0</v>
      </c>
    </row>
    <row r="51" spans="1:13" ht="12.75">
      <c r="A51" s="20" t="s">
        <v>99</v>
      </c>
      <c r="B51" s="7">
        <v>1</v>
      </c>
      <c r="C51" s="8">
        <v>334485</v>
      </c>
      <c r="D51" s="7">
        <v>0</v>
      </c>
      <c r="E51" s="8">
        <v>0</v>
      </c>
      <c r="F51" s="7">
        <v>1</v>
      </c>
      <c r="G51" s="8">
        <v>500000</v>
      </c>
      <c r="H51" s="7">
        <v>3</v>
      </c>
      <c r="I51" s="8">
        <f>500000+500000+460303</f>
        <v>1460303</v>
      </c>
      <c r="J51" s="7">
        <v>0</v>
      </c>
      <c r="K51" s="8">
        <v>0</v>
      </c>
      <c r="L51" s="24">
        <f t="shared" si="2"/>
        <v>5</v>
      </c>
      <c r="M51" s="26">
        <f t="shared" si="3"/>
        <v>2294788</v>
      </c>
    </row>
    <row r="52" spans="1:13" ht="12.75">
      <c r="A52" s="20" t="s">
        <v>100</v>
      </c>
      <c r="B52" s="7">
        <v>2</v>
      </c>
      <c r="C52" s="8">
        <f>453469+95201</f>
        <v>548670</v>
      </c>
      <c r="D52" s="7">
        <v>5</v>
      </c>
      <c r="E52" s="8">
        <f>500000+173429+307831+319517+496463</f>
        <v>1797240</v>
      </c>
      <c r="F52" s="7">
        <v>1</v>
      </c>
      <c r="G52" s="8">
        <v>202720</v>
      </c>
      <c r="H52" s="7">
        <v>3</v>
      </c>
      <c r="I52" s="8">
        <f>252875+404080+499996</f>
        <v>1156951</v>
      </c>
      <c r="J52" s="7">
        <v>0</v>
      </c>
      <c r="K52" s="8">
        <v>0</v>
      </c>
      <c r="L52" s="24">
        <f t="shared" si="2"/>
        <v>11</v>
      </c>
      <c r="M52" s="26">
        <f t="shared" si="3"/>
        <v>3705581</v>
      </c>
    </row>
    <row r="53" spans="1:13" ht="12.75">
      <c r="A53" s="20" t="s">
        <v>101</v>
      </c>
      <c r="B53" s="7">
        <v>3</v>
      </c>
      <c r="C53" s="8">
        <f>370233+50000+273334</f>
        <v>693567</v>
      </c>
      <c r="D53" s="7">
        <v>2</v>
      </c>
      <c r="E53" s="8">
        <f>500000+476944</f>
        <v>976944</v>
      </c>
      <c r="F53" s="7">
        <v>1</v>
      </c>
      <c r="G53" s="8">
        <v>499999</v>
      </c>
      <c r="H53" s="7">
        <v>2</v>
      </c>
      <c r="I53" s="8">
        <f>398094+484983</f>
        <v>883077</v>
      </c>
      <c r="J53" s="7">
        <v>4</v>
      </c>
      <c r="K53" s="8">
        <f>500000+490012+460990+427972</f>
        <v>1878974</v>
      </c>
      <c r="L53" s="24">
        <f t="shared" si="2"/>
        <v>12</v>
      </c>
      <c r="M53" s="26">
        <f t="shared" si="3"/>
        <v>4932561</v>
      </c>
    </row>
    <row r="54" spans="1:13" ht="12.75">
      <c r="A54" s="20" t="s">
        <v>102</v>
      </c>
      <c r="B54" s="7">
        <v>4</v>
      </c>
      <c r="C54" s="8">
        <f>296638+253650+50000+52559</f>
        <v>652847</v>
      </c>
      <c r="D54" s="7">
        <v>6</v>
      </c>
      <c r="E54" s="8">
        <f>291918+455208+500000+499990+500000+248580</f>
        <v>2495696</v>
      </c>
      <c r="F54" s="7">
        <v>3</v>
      </c>
      <c r="G54" s="8">
        <f>429840+462271+500000</f>
        <v>1392111</v>
      </c>
      <c r="H54" s="7">
        <v>5</v>
      </c>
      <c r="I54" s="8">
        <f>475000+500000+441426+500000+500000</f>
        <v>2416426</v>
      </c>
      <c r="J54" s="7">
        <v>7</v>
      </c>
      <c r="K54" s="8">
        <f>500000+500000+497000+450595+312315+257760+499473</f>
        <v>3017143</v>
      </c>
      <c r="L54" s="24">
        <f t="shared" si="2"/>
        <v>25</v>
      </c>
      <c r="M54" s="26">
        <f t="shared" si="3"/>
        <v>9974223</v>
      </c>
    </row>
    <row r="55" spans="1:13" ht="12.75">
      <c r="A55" s="20" t="s">
        <v>103</v>
      </c>
      <c r="B55" s="7">
        <v>0</v>
      </c>
      <c r="C55" s="8">
        <v>0</v>
      </c>
      <c r="D55" s="7">
        <v>0</v>
      </c>
      <c r="E55" s="8">
        <v>0</v>
      </c>
      <c r="F55" s="7">
        <v>1</v>
      </c>
      <c r="G55" s="8">
        <v>208899</v>
      </c>
      <c r="H55" s="7">
        <v>1</v>
      </c>
      <c r="I55" s="8">
        <v>235621</v>
      </c>
      <c r="J55" s="7">
        <v>1</v>
      </c>
      <c r="K55" s="8">
        <v>322322</v>
      </c>
      <c r="L55" s="24">
        <f t="shared" si="2"/>
        <v>3</v>
      </c>
      <c r="M55" s="26">
        <f t="shared" si="3"/>
        <v>766842</v>
      </c>
    </row>
    <row r="56" spans="1:13" ht="12.75">
      <c r="A56" s="20" t="s">
        <v>104</v>
      </c>
      <c r="B56" s="7">
        <v>1</v>
      </c>
      <c r="C56" s="8">
        <v>73000</v>
      </c>
      <c r="D56" s="7">
        <v>0</v>
      </c>
      <c r="E56" s="8">
        <v>0</v>
      </c>
      <c r="F56" s="7">
        <v>1</v>
      </c>
      <c r="G56" s="8">
        <v>238250</v>
      </c>
      <c r="H56" s="7">
        <v>2</v>
      </c>
      <c r="I56" s="8">
        <f>314000+254650</f>
        <v>568650</v>
      </c>
      <c r="J56" s="7">
        <v>1</v>
      </c>
      <c r="K56" s="8">
        <v>400000</v>
      </c>
      <c r="L56" s="24">
        <f t="shared" si="2"/>
        <v>5</v>
      </c>
      <c r="M56" s="26">
        <f t="shared" si="3"/>
        <v>1279900</v>
      </c>
    </row>
    <row r="57" spans="1:13" ht="12.75">
      <c r="A57" s="20" t="s">
        <v>105</v>
      </c>
      <c r="B57" s="7">
        <v>1</v>
      </c>
      <c r="C57" s="8">
        <v>104166</v>
      </c>
      <c r="D57" s="7">
        <v>1</v>
      </c>
      <c r="E57" s="8">
        <v>500000</v>
      </c>
      <c r="F57" s="7">
        <v>0</v>
      </c>
      <c r="G57" s="8">
        <v>0</v>
      </c>
      <c r="H57" s="7">
        <v>1</v>
      </c>
      <c r="I57" s="8">
        <v>186350</v>
      </c>
      <c r="J57" s="7">
        <v>3</v>
      </c>
      <c r="K57" s="8">
        <f>73000+470700+171578</f>
        <v>715278</v>
      </c>
      <c r="L57" s="24">
        <f t="shared" si="2"/>
        <v>6</v>
      </c>
      <c r="M57" s="26">
        <f t="shared" si="3"/>
        <v>1505794</v>
      </c>
    </row>
    <row r="58" spans="1:13" ht="12.75">
      <c r="A58" s="20" t="s">
        <v>106</v>
      </c>
      <c r="B58" s="7">
        <v>3</v>
      </c>
      <c r="C58" s="8">
        <f>111722+75975+244488</f>
        <v>432185</v>
      </c>
      <c r="D58" s="7">
        <v>3</v>
      </c>
      <c r="E58" s="8">
        <f>248400+461005+449636</f>
        <v>1159041</v>
      </c>
      <c r="F58" s="7">
        <v>1</v>
      </c>
      <c r="G58" s="8">
        <v>499332</v>
      </c>
      <c r="H58" s="7">
        <v>3</v>
      </c>
      <c r="I58" s="8">
        <f>500000+414847+250000</f>
        <v>1164847</v>
      </c>
      <c r="J58" s="7">
        <v>2</v>
      </c>
      <c r="K58" s="8">
        <f>475000+470600</f>
        <v>945600</v>
      </c>
      <c r="L58" s="24">
        <f t="shared" si="2"/>
        <v>12</v>
      </c>
      <c r="M58" s="26">
        <f t="shared" si="3"/>
        <v>4201005</v>
      </c>
    </row>
    <row r="59" spans="1:13" ht="12.75">
      <c r="A59" s="20" t="s">
        <v>107</v>
      </c>
      <c r="B59" s="7">
        <v>3</v>
      </c>
      <c r="C59" s="8">
        <f>490657+269715+291280</f>
        <v>1051652</v>
      </c>
      <c r="D59" s="7">
        <v>3</v>
      </c>
      <c r="E59" s="8">
        <f>349935+500000+485825</f>
        <v>1335760</v>
      </c>
      <c r="F59" s="7">
        <v>1</v>
      </c>
      <c r="G59" s="8">
        <v>372900</v>
      </c>
      <c r="H59" s="7">
        <v>2</v>
      </c>
      <c r="I59" s="8">
        <f>500000+500000</f>
        <v>1000000</v>
      </c>
      <c r="J59" s="7">
        <v>1</v>
      </c>
      <c r="K59" s="8">
        <v>210890</v>
      </c>
      <c r="L59" s="24">
        <f t="shared" si="2"/>
        <v>10</v>
      </c>
      <c r="M59" s="26">
        <f t="shared" si="3"/>
        <v>3971202</v>
      </c>
    </row>
    <row r="60" spans="1:13" ht="12.75">
      <c r="A60" s="20" t="s">
        <v>108</v>
      </c>
      <c r="B60" s="7">
        <v>2</v>
      </c>
      <c r="C60" s="8">
        <f>119270+114558</f>
        <v>233828</v>
      </c>
      <c r="D60" s="7">
        <v>1</v>
      </c>
      <c r="E60" s="8">
        <v>303064</v>
      </c>
      <c r="F60" s="7">
        <v>1</v>
      </c>
      <c r="G60" s="8">
        <v>218400</v>
      </c>
      <c r="H60" s="7">
        <v>0</v>
      </c>
      <c r="I60" s="8">
        <v>0</v>
      </c>
      <c r="J60" s="7">
        <v>1</v>
      </c>
      <c r="K60" s="8">
        <v>350000</v>
      </c>
      <c r="L60" s="24">
        <f t="shared" si="2"/>
        <v>5</v>
      </c>
      <c r="M60" s="26">
        <f t="shared" si="3"/>
        <v>1105292</v>
      </c>
    </row>
    <row r="61" spans="1:13" ht="12.75">
      <c r="A61" s="20" t="s">
        <v>109</v>
      </c>
      <c r="B61" s="7">
        <v>1</v>
      </c>
      <c r="C61" s="8">
        <v>494748</v>
      </c>
      <c r="D61" s="7">
        <v>0</v>
      </c>
      <c r="E61" s="8">
        <v>0</v>
      </c>
      <c r="F61" s="7">
        <v>0</v>
      </c>
      <c r="G61" s="8">
        <v>0</v>
      </c>
      <c r="H61" s="7">
        <v>1</v>
      </c>
      <c r="I61" s="8">
        <v>79600</v>
      </c>
      <c r="J61" s="8">
        <v>0</v>
      </c>
      <c r="K61" s="8">
        <v>0</v>
      </c>
      <c r="L61" s="24">
        <f t="shared" si="2"/>
        <v>2</v>
      </c>
      <c r="M61" s="26">
        <f t="shared" si="3"/>
        <v>574348</v>
      </c>
    </row>
    <row r="62" spans="1:13" s="9" customFormat="1" ht="12.75">
      <c r="A62" s="21" t="s">
        <v>111</v>
      </c>
      <c r="B62" s="9">
        <f aca="true" t="shared" si="4" ref="B62:K62">SUM(B12:B61)</f>
        <v>103</v>
      </c>
      <c r="C62" s="10">
        <f t="shared" si="4"/>
        <v>25853991</v>
      </c>
      <c r="D62" s="9">
        <f t="shared" si="4"/>
        <v>79</v>
      </c>
      <c r="E62" s="10">
        <f t="shared" si="4"/>
        <v>29410012</v>
      </c>
      <c r="F62" s="9">
        <f t="shared" si="4"/>
        <v>60</v>
      </c>
      <c r="G62" s="10">
        <f t="shared" si="4"/>
        <v>23874244</v>
      </c>
      <c r="H62" s="9">
        <f t="shared" si="4"/>
        <v>84</v>
      </c>
      <c r="I62" s="10">
        <f t="shared" si="4"/>
        <v>32477241</v>
      </c>
      <c r="J62" s="9">
        <f t="shared" si="4"/>
        <v>71</v>
      </c>
      <c r="K62" s="10">
        <f t="shared" si="4"/>
        <v>27139772</v>
      </c>
      <c r="L62" s="27">
        <f>B62+D62+F62+H62+J62</f>
        <v>397</v>
      </c>
      <c r="M62" s="28">
        <f>C62+E62+G62+I62+K62</f>
        <v>138755260</v>
      </c>
    </row>
    <row r="63" spans="3:11" ht="12.75">
      <c r="C63" s="8"/>
      <c r="E63" s="8"/>
      <c r="G63" s="8"/>
      <c r="I63" s="8"/>
      <c r="K63" s="8"/>
    </row>
    <row r="64" spans="5:11" ht="12.75">
      <c r="E64" s="8"/>
      <c r="G64" s="8"/>
      <c r="I64" s="8"/>
      <c r="K64" s="8"/>
    </row>
    <row r="65" spans="3:11" ht="12.75">
      <c r="C65" s="8"/>
      <c r="E65" s="8"/>
      <c r="G65" s="8"/>
      <c r="I65" s="8"/>
      <c r="K65" s="8"/>
    </row>
    <row r="66" spans="3:11" ht="12.75">
      <c r="C66" s="8"/>
      <c r="E66" s="8"/>
      <c r="G66" s="8"/>
      <c r="I66" s="8"/>
      <c r="K66" s="8"/>
    </row>
    <row r="67" spans="3:11" ht="12.75">
      <c r="C67" s="8"/>
      <c r="E67" s="8"/>
      <c r="G67" s="8"/>
      <c r="I67" s="8"/>
      <c r="K67" s="8"/>
    </row>
    <row r="68" spans="3:11" ht="12.75">
      <c r="C68" s="8"/>
      <c r="E68" s="8"/>
      <c r="G68" s="8"/>
      <c r="I68" s="8"/>
      <c r="K68" s="8"/>
    </row>
    <row r="69" spans="3:11" ht="12.75">
      <c r="C69" s="8"/>
      <c r="E69" s="8"/>
      <c r="G69" s="8"/>
      <c r="I69" s="8"/>
      <c r="K69" s="8"/>
    </row>
    <row r="70" spans="3:11" ht="12.75">
      <c r="C70" s="8"/>
      <c r="E70" s="8"/>
      <c r="G70" s="8"/>
      <c r="I70" s="8"/>
      <c r="K70" s="8"/>
    </row>
    <row r="71" spans="3:11" ht="12.75">
      <c r="C71" s="8"/>
      <c r="E71" s="8"/>
      <c r="G71" s="8"/>
      <c r="I71" s="8"/>
      <c r="K71" s="8"/>
    </row>
    <row r="72" spans="3:11" ht="12.75">
      <c r="C72" s="8"/>
      <c r="E72" s="8"/>
      <c r="G72" s="8"/>
      <c r="I72" s="8"/>
      <c r="K72" s="8"/>
    </row>
    <row r="73" spans="3:11" ht="12.75">
      <c r="C73" s="8"/>
      <c r="E73" s="8"/>
      <c r="G73" s="8"/>
      <c r="I73" s="8"/>
      <c r="K73" s="8"/>
    </row>
    <row r="74" spans="3:11" ht="12.75">
      <c r="C74" s="8"/>
      <c r="E74" s="8"/>
      <c r="G74" s="8"/>
      <c r="I74" s="8"/>
      <c r="K74" s="8"/>
    </row>
    <row r="75" spans="3:11" ht="12.75">
      <c r="C75" s="8"/>
      <c r="E75" s="8"/>
      <c r="G75" s="8"/>
      <c r="I75" s="8"/>
      <c r="K75" s="8"/>
    </row>
    <row r="76" spans="5:11" ht="12.75">
      <c r="E76" s="8"/>
      <c r="G76" s="8"/>
      <c r="I76" s="8"/>
      <c r="K76" s="8"/>
    </row>
    <row r="77" spans="5:11" ht="12.75">
      <c r="E77" s="8"/>
      <c r="G77" s="8"/>
      <c r="I77" s="8"/>
      <c r="K77" s="8"/>
    </row>
    <row r="78" spans="5:11" ht="12.75">
      <c r="E78" s="8"/>
      <c r="G78" s="8"/>
      <c r="I78" s="8"/>
      <c r="K78" s="8"/>
    </row>
    <row r="79" spans="5:11" ht="12.75">
      <c r="E79" s="8"/>
      <c r="G79" s="8"/>
      <c r="I79" s="8"/>
      <c r="K79" s="8"/>
    </row>
    <row r="80" spans="5:11" ht="12.75">
      <c r="E80" s="8"/>
      <c r="G80" s="8"/>
      <c r="I80" s="8"/>
      <c r="K80" s="8"/>
    </row>
    <row r="81" spans="5:11" ht="12.75">
      <c r="E81" s="8"/>
      <c r="G81" s="8"/>
      <c r="I81" s="8"/>
      <c r="K81" s="8"/>
    </row>
    <row r="82" spans="5:11" ht="12.75">
      <c r="E82" s="8"/>
      <c r="G82" s="8"/>
      <c r="I82" s="8"/>
      <c r="K82" s="8"/>
    </row>
    <row r="83" spans="5:11" ht="12.75">
      <c r="E83" s="8"/>
      <c r="G83" s="8"/>
      <c r="I83" s="8"/>
      <c r="K83" s="8"/>
    </row>
    <row r="84" spans="5:11" ht="12.75">
      <c r="E84" s="8"/>
      <c r="G84" s="8"/>
      <c r="I84" s="8"/>
      <c r="K84" s="8"/>
    </row>
    <row r="85" spans="5:11" ht="12.75">
      <c r="E85" s="8"/>
      <c r="G85" s="8"/>
      <c r="I85" s="8"/>
      <c r="K85" s="8"/>
    </row>
    <row r="86" spans="5:11" ht="12.75">
      <c r="E86" s="8"/>
      <c r="G86" s="8"/>
      <c r="I86" s="8"/>
      <c r="K86" s="8"/>
    </row>
    <row r="87" spans="5:11" ht="12.75">
      <c r="E87" s="8"/>
      <c r="G87" s="8"/>
      <c r="I87" s="8"/>
      <c r="K87" s="8"/>
    </row>
    <row r="88" spans="5:11" ht="12.75">
      <c r="E88" s="8"/>
      <c r="G88" s="8"/>
      <c r="I88" s="8"/>
      <c r="K88" s="8"/>
    </row>
    <row r="89" spans="5:11" ht="12.75">
      <c r="E89" s="8"/>
      <c r="G89" s="8"/>
      <c r="I89" s="8"/>
      <c r="K89" s="8"/>
    </row>
    <row r="90" spans="5:11" ht="12.75">
      <c r="E90" s="8"/>
      <c r="G90" s="8"/>
      <c r="I90" s="8"/>
      <c r="K90" s="8"/>
    </row>
    <row r="91" spans="5:11" ht="12.75">
      <c r="E91" s="8"/>
      <c r="G91" s="8"/>
      <c r="I91" s="8"/>
      <c r="K91" s="8"/>
    </row>
    <row r="92" spans="7:11" ht="12.75">
      <c r="G92" s="8"/>
      <c r="I92" s="8"/>
      <c r="K92" s="8"/>
    </row>
    <row r="93" spans="7:11" ht="12.75">
      <c r="G93" s="8"/>
      <c r="I93" s="8"/>
      <c r="K93" s="8"/>
    </row>
    <row r="94" spans="7:11" ht="12.75">
      <c r="G94" s="8"/>
      <c r="I94" s="8"/>
      <c r="K94" s="8"/>
    </row>
    <row r="95" spans="7:11" ht="12.75">
      <c r="G95" s="8"/>
      <c r="I95" s="8"/>
      <c r="K95" s="8"/>
    </row>
    <row r="96" spans="7:11" ht="12.75">
      <c r="G96" s="8"/>
      <c r="I96" s="8"/>
      <c r="K96" s="8"/>
    </row>
    <row r="97" spans="7:11" ht="12.75">
      <c r="G97" s="8"/>
      <c r="I97" s="8"/>
      <c r="K97" s="8"/>
    </row>
    <row r="98" spans="7:11" ht="12.75">
      <c r="G98" s="8"/>
      <c r="I98" s="8"/>
      <c r="K98" s="8"/>
    </row>
    <row r="99" spans="7:11" ht="12.75">
      <c r="G99" s="8"/>
      <c r="I99" s="8"/>
      <c r="K99" s="8"/>
    </row>
    <row r="100" spans="7:11" ht="12.75">
      <c r="G100" s="8"/>
      <c r="I100" s="8"/>
      <c r="K100" s="8"/>
    </row>
    <row r="101" spans="7:11" ht="12.75">
      <c r="G101" s="8"/>
      <c r="I101" s="8"/>
      <c r="K101" s="8"/>
    </row>
    <row r="102" spans="7:11" ht="12.75">
      <c r="G102" s="8"/>
      <c r="I102" s="8"/>
      <c r="K102" s="8"/>
    </row>
    <row r="103" spans="7:11" ht="12.75">
      <c r="G103" s="8"/>
      <c r="I103" s="8"/>
      <c r="K103" s="8"/>
    </row>
    <row r="104" spans="7:11" ht="12.75">
      <c r="G104" s="8"/>
      <c r="I104" s="8"/>
      <c r="K104" s="8"/>
    </row>
    <row r="105" spans="7:11" ht="12.75">
      <c r="G105" s="8"/>
      <c r="I105" s="8"/>
      <c r="K105" s="8"/>
    </row>
    <row r="106" spans="7:11" ht="12.75">
      <c r="G106" s="8"/>
      <c r="I106" s="8"/>
      <c r="K106" s="8"/>
    </row>
    <row r="107" spans="7:11" ht="12.75">
      <c r="G107" s="8"/>
      <c r="I107" s="8"/>
      <c r="K107" s="8"/>
    </row>
    <row r="108" spans="7:11" ht="12.75">
      <c r="G108" s="8"/>
      <c r="I108" s="8"/>
      <c r="K108" s="8"/>
    </row>
    <row r="109" spans="7:11" ht="12.75">
      <c r="G109" s="8"/>
      <c r="I109" s="8"/>
      <c r="K109" s="8"/>
    </row>
    <row r="110" spans="7:11" ht="12.75">
      <c r="G110" s="8"/>
      <c r="I110" s="8"/>
      <c r="K110" s="8"/>
    </row>
    <row r="111" spans="7:11" ht="12.75">
      <c r="G111" s="8"/>
      <c r="I111" s="8"/>
      <c r="K111" s="8"/>
    </row>
    <row r="112" spans="7:11" ht="12.75">
      <c r="G112" s="8"/>
      <c r="I112" s="8"/>
      <c r="K112" s="8"/>
    </row>
    <row r="113" spans="7:11" ht="12.75">
      <c r="G113" s="8"/>
      <c r="I113" s="8"/>
      <c r="K113" s="8"/>
    </row>
    <row r="114" spans="7:11" ht="12.75">
      <c r="G114" s="8"/>
      <c r="I114" s="8"/>
      <c r="K114" s="8"/>
    </row>
    <row r="115" spans="9:11" ht="12.75">
      <c r="I115" s="8"/>
      <c r="K115" s="8"/>
    </row>
    <row r="116" spans="9:11" ht="12.75">
      <c r="I116" s="8"/>
      <c r="K116" s="8"/>
    </row>
    <row r="117" spans="9:11" ht="12.75">
      <c r="I117" s="8"/>
      <c r="K117" s="8"/>
    </row>
    <row r="118" spans="9:11" ht="12.75">
      <c r="I118" s="8"/>
      <c r="K118" s="8"/>
    </row>
    <row r="119" spans="9:11" ht="12.75">
      <c r="I119" s="8"/>
      <c r="K119" s="8"/>
    </row>
    <row r="120" spans="9:11" ht="12.75">
      <c r="I120" s="8"/>
      <c r="K120" s="8"/>
    </row>
    <row r="121" spans="9:11" ht="12.75">
      <c r="I121" s="8"/>
      <c r="K121" s="8"/>
    </row>
    <row r="122" spans="9:11" ht="12.75">
      <c r="I122" s="8"/>
      <c r="K122" s="8"/>
    </row>
    <row r="123" spans="9:11" ht="12.75">
      <c r="I123" s="8"/>
      <c r="K123" s="8"/>
    </row>
    <row r="124" spans="9:11" ht="12.75">
      <c r="I124" s="8"/>
      <c r="K124" s="8"/>
    </row>
    <row r="125" spans="9:11" ht="12.75">
      <c r="I125" s="8"/>
      <c r="K125" s="8"/>
    </row>
    <row r="126" spans="9:11" ht="12.75">
      <c r="I126" s="8"/>
      <c r="K126" s="8"/>
    </row>
    <row r="127" spans="9:11" ht="12.75">
      <c r="I127" s="8"/>
      <c r="K127" s="8"/>
    </row>
    <row r="128" spans="9:11" ht="12.75">
      <c r="I128" s="8"/>
      <c r="K128" s="8"/>
    </row>
    <row r="129" spans="9:11" ht="12.75">
      <c r="I129" s="8"/>
      <c r="K129" s="8"/>
    </row>
    <row r="130" spans="9:11" ht="12.75">
      <c r="I130" s="8"/>
      <c r="K130" s="8"/>
    </row>
    <row r="131" spans="9:11" ht="12.75">
      <c r="I131" s="8"/>
      <c r="K131" s="8"/>
    </row>
    <row r="132" spans="9:11" ht="12.75">
      <c r="I132" s="8"/>
      <c r="K132" s="8"/>
    </row>
    <row r="133" spans="9:11" ht="12.75">
      <c r="I133" s="8"/>
      <c r="K133" s="8"/>
    </row>
    <row r="134" spans="9:11" ht="12.75">
      <c r="I134" s="8"/>
      <c r="K134" s="8"/>
    </row>
    <row r="135" spans="9:11" ht="12.75">
      <c r="I135" s="8"/>
      <c r="K135" s="8"/>
    </row>
    <row r="136" spans="9:11" ht="12.75">
      <c r="I136" s="8"/>
      <c r="K136" s="8"/>
    </row>
    <row r="137" spans="9:11" ht="12.75">
      <c r="I137" s="8"/>
      <c r="K137" s="8"/>
    </row>
    <row r="138" spans="9:11" ht="12.75">
      <c r="I138" s="8"/>
      <c r="K138" s="8"/>
    </row>
    <row r="139" spans="9:11" ht="12.75">
      <c r="I139" s="8"/>
      <c r="K139" s="8"/>
    </row>
    <row r="140" spans="9:11" ht="12.75">
      <c r="I140" s="8"/>
      <c r="K140" s="8"/>
    </row>
    <row r="141" spans="9:11" ht="12.75">
      <c r="I141" s="8"/>
      <c r="K141" s="8"/>
    </row>
    <row r="142" spans="9:11" ht="12.75">
      <c r="I142" s="8"/>
      <c r="K142" s="8"/>
    </row>
    <row r="143" spans="9:11" ht="12.75">
      <c r="I143" s="8"/>
      <c r="K143" s="8"/>
    </row>
    <row r="144" spans="9:11" ht="12.75">
      <c r="I144" s="8"/>
      <c r="K144" s="8"/>
    </row>
    <row r="145" spans="9:11" ht="12.75">
      <c r="I145" s="8"/>
      <c r="K145" s="8"/>
    </row>
    <row r="146" spans="9:11" ht="12.75">
      <c r="I146" s="8"/>
      <c r="K146" s="8"/>
    </row>
    <row r="147" spans="9:11" ht="12.75">
      <c r="I147" s="8"/>
      <c r="K147" s="8"/>
    </row>
    <row r="148" spans="9:11" ht="12.75">
      <c r="I148" s="8"/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</sheetData>
  <mergeCells count="8">
    <mergeCell ref="A10:A11"/>
    <mergeCell ref="L10:L11"/>
    <mergeCell ref="M10:M11"/>
    <mergeCell ref="J10:K10"/>
    <mergeCell ref="B10:C10"/>
    <mergeCell ref="D10:E10"/>
    <mergeCell ref="F10:G10"/>
    <mergeCell ref="H10:I10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2.421875" style="0" customWidth="1"/>
    <col min="3" max="3" width="16.421875" style="0" customWidth="1"/>
  </cols>
  <sheetData>
    <row r="1" ht="12.75">
      <c r="A1" s="3" t="s">
        <v>52</v>
      </c>
    </row>
    <row r="2" ht="12.75">
      <c r="A2" s="4"/>
    </row>
    <row r="3" spans="1:3" s="5" customFormat="1" ht="12.75">
      <c r="A3" s="5" t="s">
        <v>0</v>
      </c>
      <c r="B3" s="6" t="s">
        <v>53</v>
      </c>
      <c r="C3" s="6" t="s">
        <v>54</v>
      </c>
    </row>
    <row r="4" spans="1:3" ht="12.75">
      <c r="A4" t="s">
        <v>1</v>
      </c>
      <c r="B4">
        <v>4</v>
      </c>
      <c r="C4" s="1">
        <f>219255+50885+490657+442827</f>
        <v>1203624</v>
      </c>
    </row>
    <row r="5" spans="1:3" ht="12.75">
      <c r="A5" t="s">
        <v>2</v>
      </c>
      <c r="B5">
        <v>2</v>
      </c>
      <c r="C5" s="1">
        <f>72714+217250</f>
        <v>289964</v>
      </c>
    </row>
    <row r="6" spans="1:3" ht="12.75">
      <c r="A6" t="s">
        <v>3</v>
      </c>
      <c r="B6">
        <v>5</v>
      </c>
      <c r="C6" s="1">
        <f>213184+173650+118350+497917+137255</f>
        <v>1140356</v>
      </c>
    </row>
    <row r="7" spans="1:3" ht="12.75">
      <c r="A7" t="s">
        <v>4</v>
      </c>
      <c r="B7">
        <v>1</v>
      </c>
      <c r="C7" s="1">
        <v>451141</v>
      </c>
    </row>
    <row r="8" spans="1:3" ht="12.75">
      <c r="A8" t="s">
        <v>5</v>
      </c>
      <c r="B8">
        <v>1</v>
      </c>
      <c r="C8" s="1">
        <v>60231</v>
      </c>
    </row>
    <row r="9" spans="1:3" ht="12.75">
      <c r="A9" t="s">
        <v>6</v>
      </c>
      <c r="B9">
        <v>2</v>
      </c>
      <c r="C9" s="1">
        <f>430271+240997</f>
        <v>671268</v>
      </c>
    </row>
    <row r="10" spans="1:3" ht="12.75">
      <c r="A10" t="s">
        <v>7</v>
      </c>
      <c r="B10">
        <v>1</v>
      </c>
      <c r="C10" s="1">
        <v>489085</v>
      </c>
    </row>
    <row r="11" spans="1:3" ht="12.75">
      <c r="A11" t="s">
        <v>8</v>
      </c>
      <c r="B11">
        <v>1</v>
      </c>
      <c r="C11" s="1">
        <v>431999</v>
      </c>
    </row>
    <row r="12" spans="1:3" ht="12.75">
      <c r="A12" t="s">
        <v>9</v>
      </c>
      <c r="B12">
        <v>1</v>
      </c>
      <c r="C12" s="1">
        <v>143860</v>
      </c>
    </row>
    <row r="13" spans="1:3" ht="12.75">
      <c r="A13" t="s">
        <v>10</v>
      </c>
      <c r="B13">
        <v>1</v>
      </c>
      <c r="C13" s="1">
        <v>237800</v>
      </c>
    </row>
    <row r="14" spans="1:3" ht="12.75">
      <c r="A14" t="s">
        <v>11</v>
      </c>
      <c r="B14">
        <v>1</v>
      </c>
      <c r="C14" s="1">
        <v>297045</v>
      </c>
    </row>
    <row r="15" spans="1:3" ht="12.75">
      <c r="A15" t="s">
        <v>12</v>
      </c>
      <c r="B15">
        <v>4</v>
      </c>
      <c r="C15" s="1">
        <f>484851+91078+326893+105082</f>
        <v>1007904</v>
      </c>
    </row>
    <row r="16" spans="1:3" ht="12.75">
      <c r="A16" t="s">
        <v>13</v>
      </c>
      <c r="B16">
        <v>2</v>
      </c>
      <c r="C16" s="1">
        <f>500000+122015</f>
        <v>622015</v>
      </c>
    </row>
    <row r="17" spans="1:3" ht="12.75">
      <c r="A17" t="s">
        <v>14</v>
      </c>
      <c r="B17">
        <v>9</v>
      </c>
      <c r="C17" s="1">
        <f>500000+350881+454079+259857+249965+434409+60000+461369+127900</f>
        <v>2898460</v>
      </c>
    </row>
    <row r="18" spans="1:3" ht="12.75">
      <c r="A18" t="s">
        <v>15</v>
      </c>
      <c r="B18">
        <v>5</v>
      </c>
      <c r="C18" s="1">
        <f>412722+106211+218800+500000+159691</f>
        <v>1397424</v>
      </c>
    </row>
    <row r="19" spans="1:3" ht="12.75">
      <c r="A19" t="s">
        <v>16</v>
      </c>
      <c r="B19">
        <v>2</v>
      </c>
      <c r="C19" s="1">
        <f>232302+210675</f>
        <v>442977</v>
      </c>
    </row>
    <row r="20" spans="1:3" ht="12.75">
      <c r="A20" t="s">
        <v>17</v>
      </c>
      <c r="B20">
        <v>4</v>
      </c>
      <c r="C20" s="1">
        <f>85718+207496+52969+51226</f>
        <v>397409</v>
      </c>
    </row>
    <row r="21" spans="1:3" ht="12.75">
      <c r="A21" t="s">
        <v>18</v>
      </c>
      <c r="B21">
        <v>4</v>
      </c>
      <c r="C21" s="1">
        <f>406868+177339+383704+192500</f>
        <v>1160411</v>
      </c>
    </row>
    <row r="22" spans="1:3" ht="12.75">
      <c r="A22" t="s">
        <v>19</v>
      </c>
      <c r="B22">
        <v>3</v>
      </c>
      <c r="C22" s="1">
        <f>84066+50370+61494</f>
        <v>195930</v>
      </c>
    </row>
    <row r="23" spans="1:3" ht="12.75">
      <c r="A23" t="s">
        <v>20</v>
      </c>
      <c r="B23">
        <v>2</v>
      </c>
      <c r="C23" s="1">
        <f>343611+119006</f>
        <v>462617</v>
      </c>
    </row>
    <row r="24" spans="1:3" ht="12.75">
      <c r="A24" t="s">
        <v>21</v>
      </c>
      <c r="B24">
        <v>6</v>
      </c>
      <c r="C24" s="1">
        <f>118079+481681+194000+484684+384803+123866</f>
        <v>1787113</v>
      </c>
    </row>
    <row r="25" spans="1:3" ht="12.75">
      <c r="A25" t="s">
        <v>22</v>
      </c>
      <c r="B25">
        <v>2</v>
      </c>
      <c r="C25" s="1">
        <f>61977+359563</f>
        <v>421540</v>
      </c>
    </row>
    <row r="26" spans="1:3" ht="12.75">
      <c r="A26" t="s">
        <v>23</v>
      </c>
      <c r="B26">
        <v>2</v>
      </c>
      <c r="C26" s="1">
        <f>154939+130505</f>
        <v>285444</v>
      </c>
    </row>
    <row r="27" spans="1:3" ht="12.75">
      <c r="A27" t="s">
        <v>24</v>
      </c>
      <c r="B27">
        <v>4</v>
      </c>
      <c r="C27" s="1">
        <f>500000+265148+497411+338971</f>
        <v>1601530</v>
      </c>
    </row>
    <row r="28" spans="1:3" ht="12.75">
      <c r="A28" t="s">
        <v>25</v>
      </c>
      <c r="B28">
        <v>2</v>
      </c>
      <c r="C28" s="1">
        <f>277722+247511</f>
        <v>525233</v>
      </c>
    </row>
    <row r="29" spans="1:3" ht="12.75">
      <c r="A29" t="s">
        <v>26</v>
      </c>
      <c r="B29">
        <v>3</v>
      </c>
      <c r="C29" s="1">
        <f>242167+499000+230546</f>
        <v>971713</v>
      </c>
    </row>
    <row r="30" spans="1:3" ht="12.75">
      <c r="A30" t="s">
        <v>27</v>
      </c>
      <c r="B30">
        <v>2</v>
      </c>
      <c r="C30" s="1">
        <f>220399+188740</f>
        <v>409139</v>
      </c>
    </row>
    <row r="31" spans="1:3" ht="12.75">
      <c r="A31" t="s">
        <v>28</v>
      </c>
      <c r="B31">
        <v>6</v>
      </c>
      <c r="C31" s="1">
        <f>500000+62900+109940+155213+197927+205631</f>
        <v>1231611</v>
      </c>
    </row>
    <row r="32" spans="1:3" ht="12.75">
      <c r="A32" t="s">
        <v>29</v>
      </c>
      <c r="B32">
        <v>1</v>
      </c>
      <c r="C32" s="1">
        <v>334485</v>
      </c>
    </row>
    <row r="33" spans="1:3" ht="12.75">
      <c r="A33" t="s">
        <v>30</v>
      </c>
      <c r="B33">
        <v>2</v>
      </c>
      <c r="C33" s="1">
        <f>453469+95201</f>
        <v>548670</v>
      </c>
    </row>
    <row r="34" spans="1:3" ht="12.75">
      <c r="A34" t="s">
        <v>31</v>
      </c>
      <c r="B34">
        <v>3</v>
      </c>
      <c r="C34" s="1">
        <f>370233+50000+273334</f>
        <v>693567</v>
      </c>
    </row>
    <row r="35" spans="1:3" ht="12.75">
      <c r="A35" t="s">
        <v>32</v>
      </c>
      <c r="B35">
        <v>4</v>
      </c>
      <c r="C35" s="1">
        <f>296638+253650+50000+52559</f>
        <v>652847</v>
      </c>
    </row>
    <row r="36" spans="1:3" ht="12.75">
      <c r="A36" t="s">
        <v>33</v>
      </c>
      <c r="B36">
        <v>1</v>
      </c>
      <c r="C36" s="1">
        <v>104166</v>
      </c>
    </row>
    <row r="37" spans="1:3" ht="12.75">
      <c r="A37" t="s">
        <v>34</v>
      </c>
      <c r="B37">
        <v>1</v>
      </c>
      <c r="C37" s="1">
        <v>73000</v>
      </c>
    </row>
    <row r="38" spans="1:3" ht="12.75">
      <c r="A38" t="s">
        <v>35</v>
      </c>
      <c r="B38">
        <v>3</v>
      </c>
      <c r="C38" s="1">
        <f>111722+75975+244488</f>
        <v>432185</v>
      </c>
    </row>
    <row r="39" spans="1:3" ht="12.75">
      <c r="A39" t="s">
        <v>36</v>
      </c>
      <c r="B39">
        <v>2</v>
      </c>
      <c r="C39" s="1">
        <f>119270+114558</f>
        <v>233828</v>
      </c>
    </row>
    <row r="40" spans="1:3" ht="12.75">
      <c r="A40" t="s">
        <v>37</v>
      </c>
      <c r="B40">
        <v>3</v>
      </c>
      <c r="C40" s="1">
        <f>490657+269715+291280</f>
        <v>1051652</v>
      </c>
    </row>
    <row r="41" spans="1:3" ht="12.75">
      <c r="A41" t="s">
        <v>38</v>
      </c>
      <c r="B41">
        <v>1</v>
      </c>
      <c r="C41" s="1">
        <v>494748</v>
      </c>
    </row>
    <row r="42" ht="12.75">
      <c r="C42" s="1">
        <f>SUM(C4:C41)</f>
        <v>25853991</v>
      </c>
    </row>
    <row r="43" ht="12.75">
      <c r="C43" s="1"/>
    </row>
    <row r="44" ht="12.75">
      <c r="A44" s="4" t="s">
        <v>51</v>
      </c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2.8515625" style="0" customWidth="1"/>
    <col min="3" max="3" width="16.421875" style="0" customWidth="1"/>
  </cols>
  <sheetData>
    <row r="1" ht="12.75">
      <c r="A1" s="3" t="s">
        <v>55</v>
      </c>
    </row>
    <row r="2" ht="12.75">
      <c r="A2" s="2"/>
    </row>
    <row r="3" spans="1:3" s="5" customFormat="1" ht="12.75">
      <c r="A3" s="5" t="s">
        <v>0</v>
      </c>
      <c r="B3" s="6" t="s">
        <v>53</v>
      </c>
      <c r="C3" s="6" t="s">
        <v>54</v>
      </c>
    </row>
    <row r="4" spans="1:3" ht="12.75">
      <c r="A4" t="s">
        <v>1</v>
      </c>
      <c r="B4">
        <v>6</v>
      </c>
      <c r="C4" s="1">
        <f>258765+500000+269892+488030+499646+412867</f>
        <v>2429200</v>
      </c>
    </row>
    <row r="5" spans="1:3" ht="12.75">
      <c r="A5" t="s">
        <v>2</v>
      </c>
      <c r="B5">
        <v>1</v>
      </c>
      <c r="C5" s="1">
        <v>499978</v>
      </c>
    </row>
    <row r="6" spans="1:3" ht="12.75">
      <c r="A6" t="s">
        <v>3</v>
      </c>
      <c r="B6">
        <v>2</v>
      </c>
      <c r="C6" s="1">
        <f>420505+341297</f>
        <v>761802</v>
      </c>
    </row>
    <row r="7" spans="1:3" ht="12.75">
      <c r="A7" t="s">
        <v>4</v>
      </c>
      <c r="B7">
        <v>1</v>
      </c>
      <c r="C7" s="1">
        <v>458061</v>
      </c>
    </row>
    <row r="8" spans="1:3" ht="12.75">
      <c r="A8" t="s">
        <v>5</v>
      </c>
      <c r="B8">
        <v>1</v>
      </c>
      <c r="C8" s="1">
        <v>205833</v>
      </c>
    </row>
    <row r="9" spans="1:3" ht="12.75">
      <c r="A9" t="s">
        <v>6</v>
      </c>
      <c r="B9">
        <v>1</v>
      </c>
      <c r="C9" s="1">
        <v>338892</v>
      </c>
    </row>
    <row r="10" spans="1:3" ht="12.75">
      <c r="A10" t="s">
        <v>7</v>
      </c>
      <c r="B10">
        <v>1</v>
      </c>
      <c r="C10" s="1">
        <v>498252</v>
      </c>
    </row>
    <row r="11" spans="1:3" ht="12.75">
      <c r="A11" t="s">
        <v>8</v>
      </c>
      <c r="B11">
        <v>1</v>
      </c>
      <c r="C11" s="1">
        <v>387743</v>
      </c>
    </row>
    <row r="12" spans="1:3" ht="12.75">
      <c r="A12" t="s">
        <v>39</v>
      </c>
      <c r="B12">
        <v>1</v>
      </c>
      <c r="C12" s="1">
        <v>198000</v>
      </c>
    </row>
    <row r="13" spans="1:3" ht="12.75">
      <c r="A13" t="s">
        <v>9</v>
      </c>
      <c r="B13">
        <v>1</v>
      </c>
      <c r="C13" s="1">
        <v>289369</v>
      </c>
    </row>
    <row r="14" spans="1:3" ht="12.75">
      <c r="A14" t="s">
        <v>10</v>
      </c>
      <c r="B14">
        <v>1</v>
      </c>
      <c r="C14" s="1">
        <v>294678</v>
      </c>
    </row>
    <row r="15" spans="1:3" ht="12.75">
      <c r="A15" t="s">
        <v>40</v>
      </c>
      <c r="B15">
        <v>2</v>
      </c>
      <c r="C15" s="1">
        <f>205706+389599</f>
        <v>595305</v>
      </c>
    </row>
    <row r="16" spans="1:3" ht="12.75">
      <c r="A16" t="s">
        <v>11</v>
      </c>
      <c r="B16">
        <v>2</v>
      </c>
      <c r="C16" s="1">
        <f>492076+499920</f>
        <v>991996</v>
      </c>
    </row>
    <row r="17" spans="1:3" ht="12.75">
      <c r="A17" t="s">
        <v>14</v>
      </c>
      <c r="B17">
        <v>2</v>
      </c>
      <c r="C17" s="1">
        <f>107450+500000</f>
        <v>607450</v>
      </c>
    </row>
    <row r="18" spans="1:3" ht="12.75">
      <c r="A18" t="s">
        <v>15</v>
      </c>
      <c r="B18">
        <v>4</v>
      </c>
      <c r="C18" s="1">
        <f>421872+350000+321020+200015</f>
        <v>1292907</v>
      </c>
    </row>
    <row r="19" spans="1:3" ht="12.75">
      <c r="A19" t="s">
        <v>16</v>
      </c>
      <c r="B19">
        <v>3</v>
      </c>
      <c r="C19" s="1">
        <f>500000+102100+475022</f>
        <v>1077122</v>
      </c>
    </row>
    <row r="20" spans="1:3" ht="12.75">
      <c r="A20" t="s">
        <v>17</v>
      </c>
      <c r="B20">
        <v>1</v>
      </c>
      <c r="C20" s="1">
        <v>432265</v>
      </c>
    </row>
    <row r="21" spans="1:3" ht="12.75">
      <c r="A21" t="s">
        <v>18</v>
      </c>
      <c r="B21">
        <v>1</v>
      </c>
      <c r="C21" s="1">
        <v>500000</v>
      </c>
    </row>
    <row r="22" spans="1:3" ht="12.75">
      <c r="A22" t="s">
        <v>41</v>
      </c>
      <c r="B22">
        <v>1</v>
      </c>
      <c r="C22" s="1">
        <v>134947</v>
      </c>
    </row>
    <row r="23" spans="1:3" ht="12.75">
      <c r="A23" t="s">
        <v>19</v>
      </c>
      <c r="B23">
        <v>1</v>
      </c>
      <c r="C23" s="1">
        <v>114211</v>
      </c>
    </row>
    <row r="24" spans="1:3" ht="12.75">
      <c r="A24" t="s">
        <v>21</v>
      </c>
      <c r="B24">
        <v>2</v>
      </c>
      <c r="C24" s="1">
        <f>378800+183100</f>
        <v>561900</v>
      </c>
    </row>
    <row r="25" spans="1:3" ht="12.75">
      <c r="A25" t="s">
        <v>42</v>
      </c>
      <c r="B25">
        <v>2</v>
      </c>
      <c r="C25" s="1">
        <f>499330+327100</f>
        <v>826430</v>
      </c>
    </row>
    <row r="26" spans="1:3" ht="12.75">
      <c r="A26" t="s">
        <v>23</v>
      </c>
      <c r="B26">
        <v>2</v>
      </c>
      <c r="C26" s="1">
        <f>454668+486100</f>
        <v>940768</v>
      </c>
    </row>
    <row r="27" spans="1:3" ht="12.75">
      <c r="A27" t="s">
        <v>43</v>
      </c>
      <c r="B27">
        <v>2</v>
      </c>
      <c r="C27" s="1">
        <f>474872+500000</f>
        <v>974872</v>
      </c>
    </row>
    <row r="28" spans="1:3" ht="12.75">
      <c r="A28" t="s">
        <v>24</v>
      </c>
      <c r="B28">
        <v>5</v>
      </c>
      <c r="C28" s="1">
        <f>252948+136035+446232+467635+468853</f>
        <v>1771703</v>
      </c>
    </row>
    <row r="29" spans="1:3" ht="12.75">
      <c r="A29" t="s">
        <v>25</v>
      </c>
      <c r="B29">
        <v>2</v>
      </c>
      <c r="C29" s="1">
        <f>141812+339641</f>
        <v>481453</v>
      </c>
    </row>
    <row r="30" spans="1:3" ht="12.75">
      <c r="A30" t="s">
        <v>26</v>
      </c>
      <c r="B30">
        <v>5</v>
      </c>
      <c r="C30" s="1">
        <f>304542+346325+486050+485490+498148</f>
        <v>2120555</v>
      </c>
    </row>
    <row r="31" spans="1:3" ht="12.75">
      <c r="A31" t="s">
        <v>27</v>
      </c>
      <c r="B31">
        <v>2</v>
      </c>
      <c r="C31" s="1">
        <f>499165+53885</f>
        <v>553050</v>
      </c>
    </row>
    <row r="32" spans="1:3" ht="12.75">
      <c r="A32" t="s">
        <v>28</v>
      </c>
      <c r="B32">
        <v>2</v>
      </c>
      <c r="C32" s="1">
        <f>392950+110575</f>
        <v>503525</v>
      </c>
    </row>
    <row r="33" spans="1:3" ht="12.75">
      <c r="A33" t="s">
        <v>30</v>
      </c>
      <c r="B33">
        <v>5</v>
      </c>
      <c r="C33" s="1">
        <f>500000+173429+307831+319517+496463</f>
        <v>1797240</v>
      </c>
    </row>
    <row r="34" spans="1:3" ht="12.75">
      <c r="A34" t="s">
        <v>31</v>
      </c>
      <c r="B34">
        <v>2</v>
      </c>
      <c r="C34" s="1">
        <f>500000+476944</f>
        <v>976944</v>
      </c>
    </row>
    <row r="35" spans="1:3" ht="12.75">
      <c r="A35" t="s">
        <v>32</v>
      </c>
      <c r="B35">
        <v>6</v>
      </c>
      <c r="C35" s="1">
        <f>291918+455208+500000+499990+500000+248580</f>
        <v>2495696</v>
      </c>
    </row>
    <row r="36" spans="1:3" ht="12.75">
      <c r="A36" t="s">
        <v>33</v>
      </c>
      <c r="B36">
        <v>1</v>
      </c>
      <c r="C36" s="1">
        <v>500000</v>
      </c>
    </row>
    <row r="37" spans="1:3" ht="12.75">
      <c r="A37" t="s">
        <v>35</v>
      </c>
      <c r="B37">
        <v>3</v>
      </c>
      <c r="C37" s="1">
        <f>248400+461005+449636</f>
        <v>1159041</v>
      </c>
    </row>
    <row r="38" spans="1:3" ht="12.75">
      <c r="A38" t="s">
        <v>36</v>
      </c>
      <c r="B38">
        <v>1</v>
      </c>
      <c r="C38" s="1">
        <v>303064</v>
      </c>
    </row>
    <row r="39" spans="1:3" ht="12.75">
      <c r="A39" t="s">
        <v>37</v>
      </c>
      <c r="B39">
        <v>3</v>
      </c>
      <c r="C39" s="1">
        <f>349935+500000+485825</f>
        <v>1335760</v>
      </c>
    </row>
    <row r="40" ht="12.75">
      <c r="C40" s="1">
        <f>SUM(C4:C39)</f>
        <v>29410012</v>
      </c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2.8515625" style="0" customWidth="1"/>
    <col min="3" max="3" width="16.8515625" style="0" customWidth="1"/>
  </cols>
  <sheetData>
    <row r="1" ht="12.75">
      <c r="A1" s="3" t="s">
        <v>56</v>
      </c>
    </row>
    <row r="2" ht="12.75">
      <c r="A2" s="2"/>
    </row>
    <row r="3" spans="1:3" s="5" customFormat="1" ht="12.75">
      <c r="A3" s="5" t="s">
        <v>0</v>
      </c>
      <c r="B3" s="6" t="s">
        <v>53</v>
      </c>
      <c r="C3" s="6" t="s">
        <v>54</v>
      </c>
    </row>
    <row r="4" spans="1:3" ht="12.75">
      <c r="A4" t="s">
        <v>1</v>
      </c>
      <c r="B4">
        <v>3</v>
      </c>
      <c r="C4" s="1">
        <f>499999+472579+411913</f>
        <v>1384491</v>
      </c>
    </row>
    <row r="5" spans="1:3" ht="12.75">
      <c r="A5" t="s">
        <v>2</v>
      </c>
      <c r="B5">
        <v>1</v>
      </c>
      <c r="C5" s="1">
        <v>499869</v>
      </c>
    </row>
    <row r="6" spans="1:3" ht="12.75">
      <c r="A6" t="s">
        <v>3</v>
      </c>
      <c r="B6">
        <v>3</v>
      </c>
      <c r="C6" s="1">
        <f>361687+461521+408442</f>
        <v>1231650</v>
      </c>
    </row>
    <row r="7" spans="1:3" ht="12.75">
      <c r="A7" t="s">
        <v>4</v>
      </c>
      <c r="B7">
        <v>1</v>
      </c>
      <c r="C7" s="1">
        <v>500000</v>
      </c>
    </row>
    <row r="8" spans="1:3" ht="12.75">
      <c r="A8" t="s">
        <v>5</v>
      </c>
      <c r="B8">
        <v>1</v>
      </c>
      <c r="C8" s="1">
        <v>447752</v>
      </c>
    </row>
    <row r="9" spans="1:3" ht="12.75">
      <c r="A9" t="s">
        <v>6</v>
      </c>
      <c r="B9">
        <v>1</v>
      </c>
      <c r="C9" s="1">
        <v>452154</v>
      </c>
    </row>
    <row r="10" spans="1:3" ht="12.75">
      <c r="A10" t="s">
        <v>44</v>
      </c>
      <c r="B10">
        <v>1</v>
      </c>
      <c r="C10" s="1">
        <v>78156</v>
      </c>
    </row>
    <row r="11" spans="1:3" ht="12.75">
      <c r="A11" t="s">
        <v>45</v>
      </c>
      <c r="B11">
        <v>1</v>
      </c>
      <c r="C11" s="1">
        <v>236180</v>
      </c>
    </row>
    <row r="12" spans="1:3" ht="12.75">
      <c r="A12" t="s">
        <v>7</v>
      </c>
      <c r="B12">
        <v>1</v>
      </c>
      <c r="C12" s="1">
        <v>176774</v>
      </c>
    </row>
    <row r="13" spans="1:3" ht="12.75">
      <c r="A13" t="s">
        <v>8</v>
      </c>
      <c r="B13">
        <v>1</v>
      </c>
      <c r="C13" s="1">
        <v>500000</v>
      </c>
    </row>
    <row r="14" spans="1:3" ht="12.75">
      <c r="A14" t="s">
        <v>39</v>
      </c>
      <c r="B14">
        <v>1</v>
      </c>
      <c r="C14" s="1">
        <v>422278</v>
      </c>
    </row>
    <row r="15" spans="1:3" ht="12.75">
      <c r="A15" t="s">
        <v>9</v>
      </c>
      <c r="B15">
        <v>1</v>
      </c>
      <c r="C15" s="1">
        <v>500000</v>
      </c>
    </row>
    <row r="16" spans="1:3" ht="12.75">
      <c r="A16" t="s">
        <v>10</v>
      </c>
      <c r="B16">
        <v>1</v>
      </c>
      <c r="C16" s="1">
        <v>310000</v>
      </c>
    </row>
    <row r="17" spans="1:3" ht="12.75">
      <c r="A17" t="s">
        <v>40</v>
      </c>
      <c r="B17">
        <v>1</v>
      </c>
      <c r="C17" s="1">
        <v>370416</v>
      </c>
    </row>
    <row r="18" spans="1:3" ht="12.75">
      <c r="A18" t="s">
        <v>11</v>
      </c>
      <c r="B18">
        <v>1</v>
      </c>
      <c r="C18" s="1">
        <v>198000</v>
      </c>
    </row>
    <row r="19" spans="1:3" ht="12.75">
      <c r="A19" t="s">
        <v>12</v>
      </c>
      <c r="B19">
        <v>2</v>
      </c>
      <c r="C19" s="1">
        <f>499153+235636</f>
        <v>734789</v>
      </c>
    </row>
    <row r="20" spans="1:3" ht="12.75">
      <c r="A20" t="s">
        <v>13</v>
      </c>
      <c r="B20">
        <v>1</v>
      </c>
      <c r="C20" s="1">
        <v>500000</v>
      </c>
    </row>
    <row r="21" spans="1:3" ht="12.75">
      <c r="A21" t="s">
        <v>46</v>
      </c>
      <c r="B21">
        <v>1</v>
      </c>
      <c r="C21" s="1">
        <v>471197</v>
      </c>
    </row>
    <row r="22" spans="1:3" ht="12.75">
      <c r="A22" t="s">
        <v>14</v>
      </c>
      <c r="B22">
        <v>1</v>
      </c>
      <c r="C22" s="1">
        <v>264448</v>
      </c>
    </row>
    <row r="23" spans="1:3" ht="12.75">
      <c r="A23" t="s">
        <v>15</v>
      </c>
      <c r="B23">
        <v>3</v>
      </c>
      <c r="C23" s="1">
        <f>215519+446865+176421</f>
        <v>838805</v>
      </c>
    </row>
    <row r="24" spans="1:3" ht="12.75">
      <c r="A24" t="s">
        <v>16</v>
      </c>
      <c r="B24">
        <v>1</v>
      </c>
      <c r="C24" s="1">
        <v>482791</v>
      </c>
    </row>
    <row r="25" spans="1:3" ht="12.75">
      <c r="A25" t="s">
        <v>17</v>
      </c>
      <c r="B25">
        <v>1</v>
      </c>
      <c r="C25" s="1">
        <v>389809</v>
      </c>
    </row>
    <row r="26" spans="1:3" ht="12.75">
      <c r="A26" t="s">
        <v>18</v>
      </c>
      <c r="B26">
        <v>3</v>
      </c>
      <c r="C26" s="1">
        <f>500000+500000+500000</f>
        <v>1500000</v>
      </c>
    </row>
    <row r="27" spans="1:3" ht="12.75">
      <c r="A27" t="s">
        <v>41</v>
      </c>
      <c r="B27">
        <v>1</v>
      </c>
      <c r="C27" s="1">
        <v>500000</v>
      </c>
    </row>
    <row r="28" spans="1:3" ht="12.75">
      <c r="A28" t="s">
        <v>19</v>
      </c>
      <c r="B28">
        <v>1</v>
      </c>
      <c r="C28" s="1">
        <v>445143</v>
      </c>
    </row>
    <row r="29" spans="1:3" ht="12.75">
      <c r="A29" t="s">
        <v>20</v>
      </c>
      <c r="B29">
        <v>1</v>
      </c>
      <c r="C29" s="1">
        <v>395747</v>
      </c>
    </row>
    <row r="30" spans="1:3" ht="12.75">
      <c r="A30" t="s">
        <v>21</v>
      </c>
      <c r="B30">
        <v>1</v>
      </c>
      <c r="C30" s="1">
        <v>284766</v>
      </c>
    </row>
    <row r="31" spans="1:3" ht="12.75">
      <c r="A31" t="s">
        <v>42</v>
      </c>
      <c r="B31">
        <v>1</v>
      </c>
      <c r="C31" s="1">
        <v>499965</v>
      </c>
    </row>
    <row r="32" spans="1:3" ht="12.75">
      <c r="A32" t="s">
        <v>47</v>
      </c>
      <c r="B32">
        <v>1</v>
      </c>
      <c r="C32" s="1">
        <v>497906</v>
      </c>
    </row>
    <row r="33" spans="1:3" ht="12.75">
      <c r="A33" t="s">
        <v>23</v>
      </c>
      <c r="B33">
        <v>3</v>
      </c>
      <c r="C33" s="1">
        <f>490910+500000+398936</f>
        <v>1389846</v>
      </c>
    </row>
    <row r="34" spans="1:3" ht="12.75">
      <c r="A34" t="s">
        <v>43</v>
      </c>
      <c r="B34">
        <v>1</v>
      </c>
      <c r="C34" s="1">
        <v>493544</v>
      </c>
    </row>
    <row r="35" spans="1:3" ht="12.75">
      <c r="A35" t="s">
        <v>24</v>
      </c>
      <c r="B35">
        <v>1</v>
      </c>
      <c r="C35" s="1">
        <v>498979</v>
      </c>
    </row>
    <row r="36" spans="1:3" ht="12.75">
      <c r="A36" t="s">
        <v>25</v>
      </c>
      <c r="B36">
        <v>1</v>
      </c>
      <c r="C36" s="1">
        <v>300000</v>
      </c>
    </row>
    <row r="37" spans="1:3" ht="12.75">
      <c r="A37" t="s">
        <v>26</v>
      </c>
      <c r="B37">
        <v>3</v>
      </c>
      <c r="C37" s="1">
        <f>497500+157937+359439</f>
        <v>1014876</v>
      </c>
    </row>
    <row r="38" spans="1:3" ht="12.75">
      <c r="A38" t="s">
        <v>27</v>
      </c>
      <c r="B38">
        <v>1</v>
      </c>
      <c r="C38" s="1">
        <v>431302</v>
      </c>
    </row>
    <row r="39" spans="1:3" ht="12.75">
      <c r="A39" t="s">
        <v>28</v>
      </c>
      <c r="B39">
        <v>1</v>
      </c>
      <c r="C39" s="1">
        <v>500000</v>
      </c>
    </row>
    <row r="40" spans="1:3" ht="12.75">
      <c r="A40" t="s">
        <v>29</v>
      </c>
      <c r="B40">
        <v>1</v>
      </c>
      <c r="C40" s="1">
        <v>500000</v>
      </c>
    </row>
    <row r="41" spans="1:3" ht="12.75">
      <c r="A41" t="s">
        <v>30</v>
      </c>
      <c r="B41">
        <v>1</v>
      </c>
      <c r="C41" s="1">
        <v>202720</v>
      </c>
    </row>
    <row r="42" spans="1:3" ht="12.75">
      <c r="A42" t="s">
        <v>31</v>
      </c>
      <c r="B42">
        <v>1</v>
      </c>
      <c r="C42" s="1">
        <v>499999</v>
      </c>
    </row>
    <row r="43" spans="1:3" ht="12.75">
      <c r="A43" t="s">
        <v>32</v>
      </c>
      <c r="B43">
        <v>3</v>
      </c>
      <c r="C43" s="1">
        <f>429840+462271+500000</f>
        <v>1392111</v>
      </c>
    </row>
    <row r="44" spans="1:3" ht="12.75">
      <c r="A44" t="s">
        <v>48</v>
      </c>
      <c r="B44">
        <v>1</v>
      </c>
      <c r="C44" s="1">
        <v>208899</v>
      </c>
    </row>
    <row r="45" spans="1:3" ht="12.75">
      <c r="A45" t="s">
        <v>34</v>
      </c>
      <c r="B45">
        <v>1</v>
      </c>
      <c r="C45" s="1">
        <v>238250</v>
      </c>
    </row>
    <row r="46" spans="1:3" ht="12.75">
      <c r="A46" t="s">
        <v>35</v>
      </c>
      <c r="B46">
        <v>1</v>
      </c>
      <c r="C46" s="1">
        <v>499332</v>
      </c>
    </row>
    <row r="47" spans="1:3" ht="12.75">
      <c r="A47" t="s">
        <v>36</v>
      </c>
      <c r="B47">
        <v>1</v>
      </c>
      <c r="C47" s="1">
        <v>218400</v>
      </c>
    </row>
    <row r="48" spans="1:3" ht="12.75">
      <c r="A48" t="s">
        <v>37</v>
      </c>
      <c r="B48">
        <v>1</v>
      </c>
      <c r="C48" s="1">
        <v>372900</v>
      </c>
    </row>
    <row r="49" ht="12.75">
      <c r="C49" s="1">
        <f>SUM(C4:C48)</f>
        <v>23874244</v>
      </c>
    </row>
    <row r="50" spans="1:3" ht="12.75">
      <c r="A50" t="s">
        <v>50</v>
      </c>
      <c r="B50">
        <v>1</v>
      </c>
      <c r="C50" s="1">
        <v>499794</v>
      </c>
    </row>
    <row r="51" spans="1:3" ht="12.75">
      <c r="A51" t="s">
        <v>49</v>
      </c>
      <c r="B51">
        <v>1</v>
      </c>
      <c r="C51" s="1">
        <v>230635</v>
      </c>
    </row>
    <row r="52" ht="12.75">
      <c r="C52" s="1">
        <f>SUM(C49:C51)</f>
        <v>24604673</v>
      </c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2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13.421875" style="0" customWidth="1"/>
    <col min="3" max="3" width="16.8515625" style="0" customWidth="1"/>
  </cols>
  <sheetData>
    <row r="1" ht="12.75">
      <c r="A1" s="3" t="s">
        <v>57</v>
      </c>
    </row>
    <row r="2" ht="12.75">
      <c r="A2" s="2"/>
    </row>
    <row r="3" spans="1:3" s="5" customFormat="1" ht="12.75">
      <c r="A3" s="5" t="s">
        <v>0</v>
      </c>
      <c r="B3" s="6" t="s">
        <v>53</v>
      </c>
      <c r="C3" s="6" t="s">
        <v>54</v>
      </c>
    </row>
    <row r="4" spans="1:3" ht="12.75">
      <c r="A4" t="s">
        <v>1</v>
      </c>
      <c r="B4">
        <v>5</v>
      </c>
      <c r="C4" s="1">
        <f>500000+490000+500000+485732+500000</f>
        <v>2475732</v>
      </c>
    </row>
    <row r="5" spans="1:3" ht="12.75">
      <c r="A5" t="s">
        <v>3</v>
      </c>
      <c r="B5">
        <v>2</v>
      </c>
      <c r="C5" s="1">
        <f>425820+354850</f>
        <v>780670</v>
      </c>
    </row>
    <row r="6" spans="1:3" ht="12.75">
      <c r="A6" t="s">
        <v>4</v>
      </c>
      <c r="B6">
        <v>2</v>
      </c>
      <c r="C6" s="1">
        <f>487978+191500</f>
        <v>679478</v>
      </c>
    </row>
    <row r="7" spans="1:3" ht="12.75">
      <c r="A7" t="s">
        <v>5</v>
      </c>
      <c r="B7">
        <v>2</v>
      </c>
      <c r="C7" s="1">
        <f>321555+500000</f>
        <v>821555</v>
      </c>
    </row>
    <row r="8" spans="1:3" ht="12.75">
      <c r="A8" t="s">
        <v>6</v>
      </c>
      <c r="B8">
        <v>1</v>
      </c>
      <c r="C8" s="1">
        <v>145914</v>
      </c>
    </row>
    <row r="9" spans="1:3" ht="12.75">
      <c r="A9" t="s">
        <v>45</v>
      </c>
      <c r="B9">
        <v>2</v>
      </c>
      <c r="C9" s="1">
        <f>237975+239326</f>
        <v>477301</v>
      </c>
    </row>
    <row r="10" spans="1:3" ht="12.75">
      <c r="A10" t="s">
        <v>7</v>
      </c>
      <c r="B10">
        <v>2</v>
      </c>
      <c r="C10" s="1">
        <f>62000+499515</f>
        <v>561515</v>
      </c>
    </row>
    <row r="11" spans="1:3" ht="12.75">
      <c r="A11" t="s">
        <v>8</v>
      </c>
      <c r="B11">
        <v>1</v>
      </c>
      <c r="C11" s="1">
        <v>283500</v>
      </c>
    </row>
    <row r="12" spans="1:3" ht="12.75">
      <c r="A12" t="s">
        <v>39</v>
      </c>
      <c r="B12">
        <v>1</v>
      </c>
      <c r="C12" s="1">
        <v>287362</v>
      </c>
    </row>
    <row r="13" spans="1:3" ht="12.75">
      <c r="A13" t="s">
        <v>9</v>
      </c>
      <c r="B13">
        <v>2</v>
      </c>
      <c r="C13" s="1">
        <f>403500+82866</f>
        <v>486366</v>
      </c>
    </row>
    <row r="14" spans="1:3" ht="12.75">
      <c r="A14" t="s">
        <v>10</v>
      </c>
      <c r="B14">
        <v>1</v>
      </c>
      <c r="C14" s="1">
        <v>388700</v>
      </c>
    </row>
    <row r="15" spans="1:3" ht="12.75">
      <c r="A15" t="s">
        <v>40</v>
      </c>
      <c r="B15">
        <v>1</v>
      </c>
      <c r="C15" s="1">
        <v>500000</v>
      </c>
    </row>
    <row r="16" spans="1:3" ht="12.75">
      <c r="A16" t="s">
        <v>11</v>
      </c>
      <c r="B16">
        <v>2</v>
      </c>
      <c r="C16" s="1">
        <f>442860+456239</f>
        <v>899099</v>
      </c>
    </row>
    <row r="17" spans="1:3" ht="12.75">
      <c r="A17" t="s">
        <v>12</v>
      </c>
      <c r="B17">
        <v>1</v>
      </c>
      <c r="C17" s="1">
        <v>74661</v>
      </c>
    </row>
    <row r="18" spans="1:3" ht="12.75">
      <c r="A18" t="s">
        <v>13</v>
      </c>
      <c r="B18">
        <v>1</v>
      </c>
      <c r="C18" s="1">
        <v>262000</v>
      </c>
    </row>
    <row r="19" spans="1:3" ht="12.75">
      <c r="A19" t="s">
        <v>46</v>
      </c>
      <c r="B19">
        <v>1</v>
      </c>
      <c r="C19" s="1">
        <v>210101</v>
      </c>
    </row>
    <row r="20" spans="1:3" ht="12.75">
      <c r="A20" t="s">
        <v>58</v>
      </c>
      <c r="B20">
        <v>1</v>
      </c>
      <c r="C20" s="1">
        <v>239482</v>
      </c>
    </row>
    <row r="21" spans="1:3" ht="12.75">
      <c r="A21" t="s">
        <v>14</v>
      </c>
      <c r="B21">
        <v>3</v>
      </c>
      <c r="C21" s="1">
        <f>500000+221620+500000</f>
        <v>1221620</v>
      </c>
    </row>
    <row r="22" spans="1:3" ht="12.75">
      <c r="A22" t="s">
        <v>15</v>
      </c>
      <c r="B22">
        <v>4</v>
      </c>
      <c r="C22" s="1">
        <f>369121+496588+334462+354005</f>
        <v>1554176</v>
      </c>
    </row>
    <row r="23" spans="1:3" ht="12.75">
      <c r="A23" t="s">
        <v>16</v>
      </c>
      <c r="B23">
        <v>2</v>
      </c>
      <c r="C23" s="1">
        <f>494115+472239</f>
        <v>966354</v>
      </c>
    </row>
    <row r="24" spans="1:3" ht="12.75">
      <c r="A24" t="s">
        <v>17</v>
      </c>
      <c r="B24">
        <v>1</v>
      </c>
      <c r="C24" s="1">
        <v>89928</v>
      </c>
    </row>
    <row r="25" spans="1:3" ht="12.75">
      <c r="A25" t="s">
        <v>18</v>
      </c>
      <c r="B25">
        <v>3</v>
      </c>
      <c r="C25" s="1">
        <f>500000+500000+500000</f>
        <v>1500000</v>
      </c>
    </row>
    <row r="26" spans="1:3" ht="12.75">
      <c r="A26" t="s">
        <v>41</v>
      </c>
      <c r="B26">
        <v>1</v>
      </c>
      <c r="C26" s="1">
        <v>404086</v>
      </c>
    </row>
    <row r="27" spans="1:3" ht="12.75">
      <c r="A27" t="s">
        <v>19</v>
      </c>
      <c r="B27">
        <v>1</v>
      </c>
      <c r="C27" s="1">
        <v>345733</v>
      </c>
    </row>
    <row r="28" spans="1:3" ht="12.75">
      <c r="A28" t="s">
        <v>21</v>
      </c>
      <c r="B28">
        <v>1</v>
      </c>
      <c r="C28" s="1">
        <v>153300</v>
      </c>
    </row>
    <row r="29" spans="1:3" ht="12.75">
      <c r="A29" t="s">
        <v>42</v>
      </c>
      <c r="B29">
        <v>1</v>
      </c>
      <c r="C29" s="1">
        <v>499996</v>
      </c>
    </row>
    <row r="30" spans="1:3" ht="12.75">
      <c r="A30" t="s">
        <v>23</v>
      </c>
      <c r="B30">
        <v>1</v>
      </c>
      <c r="C30" s="1">
        <v>478555</v>
      </c>
    </row>
    <row r="31" spans="1:3" ht="12.75">
      <c r="A31" t="s">
        <v>24</v>
      </c>
      <c r="B31">
        <v>3</v>
      </c>
      <c r="C31" s="1">
        <f>500000+499800+500000</f>
        <v>1499800</v>
      </c>
    </row>
    <row r="32" spans="1:3" ht="12.75">
      <c r="A32" t="s">
        <v>25</v>
      </c>
      <c r="B32">
        <v>1</v>
      </c>
      <c r="C32" s="1">
        <v>446142</v>
      </c>
    </row>
    <row r="33" spans="1:3" ht="12.75">
      <c r="A33" t="s">
        <v>26</v>
      </c>
      <c r="B33">
        <v>5</v>
      </c>
      <c r="C33" s="1">
        <f>484296+498735+166950+476424+495200</f>
        <v>2121605</v>
      </c>
    </row>
    <row r="34" spans="1:3" ht="12.75">
      <c r="A34" t="s">
        <v>27</v>
      </c>
      <c r="B34">
        <v>3</v>
      </c>
      <c r="C34" s="1">
        <f>237137+500000+233548</f>
        <v>970685</v>
      </c>
    </row>
    <row r="35" spans="1:3" ht="12.75">
      <c r="A35" t="s">
        <v>28</v>
      </c>
      <c r="B35">
        <v>3</v>
      </c>
      <c r="C35" s="1">
        <f>500000+500000+500000</f>
        <v>1500000</v>
      </c>
    </row>
    <row r="36" spans="1:3" ht="12.75">
      <c r="A36" t="s">
        <v>29</v>
      </c>
      <c r="B36">
        <v>3</v>
      </c>
      <c r="C36" s="1">
        <f>500000+500000+460303</f>
        <v>1460303</v>
      </c>
    </row>
    <row r="37" spans="1:3" ht="12.75">
      <c r="A37" t="s">
        <v>30</v>
      </c>
      <c r="B37">
        <v>3</v>
      </c>
      <c r="C37" s="1">
        <f>252875+404080+499996</f>
        <v>1156951</v>
      </c>
    </row>
    <row r="38" spans="1:3" ht="12.75">
      <c r="A38" t="s">
        <v>31</v>
      </c>
      <c r="B38">
        <v>2</v>
      </c>
      <c r="C38" s="1">
        <f>398094+484983</f>
        <v>883077</v>
      </c>
    </row>
    <row r="39" spans="1:3" ht="12.75">
      <c r="A39" t="s">
        <v>32</v>
      </c>
      <c r="B39">
        <v>5</v>
      </c>
      <c r="C39" s="1">
        <f>475000+500000+441426+500000+500000</f>
        <v>2416426</v>
      </c>
    </row>
    <row r="40" spans="1:3" ht="12.75">
      <c r="A40" t="s">
        <v>48</v>
      </c>
      <c r="B40">
        <v>1</v>
      </c>
      <c r="C40" s="1">
        <v>235621</v>
      </c>
    </row>
    <row r="41" spans="1:3" ht="12.75">
      <c r="A41" t="s">
        <v>33</v>
      </c>
      <c r="B41">
        <v>1</v>
      </c>
      <c r="C41" s="1">
        <v>186350</v>
      </c>
    </row>
    <row r="42" spans="1:3" ht="12.75">
      <c r="A42" t="s">
        <v>34</v>
      </c>
      <c r="B42">
        <v>2</v>
      </c>
      <c r="C42" s="1">
        <f>314000+254650</f>
        <v>568650</v>
      </c>
    </row>
    <row r="43" spans="1:3" ht="12.75">
      <c r="A43" t="s">
        <v>35</v>
      </c>
      <c r="B43">
        <v>3</v>
      </c>
      <c r="C43" s="1">
        <f>500000+414847+250000</f>
        <v>1164847</v>
      </c>
    </row>
    <row r="44" spans="1:3" ht="12.75">
      <c r="A44" t="s">
        <v>37</v>
      </c>
      <c r="B44">
        <v>2</v>
      </c>
      <c r="C44" s="1">
        <f>500000+500000</f>
        <v>1000000</v>
      </c>
    </row>
    <row r="45" spans="1:3" ht="12.75">
      <c r="A45" t="s">
        <v>38</v>
      </c>
      <c r="B45">
        <v>1</v>
      </c>
      <c r="C45" s="1">
        <v>79600</v>
      </c>
    </row>
    <row r="46" ht="12.75">
      <c r="C46" s="1">
        <f>SUM(C4:C45)</f>
        <v>32477241</v>
      </c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2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2.140625" style="0" customWidth="1"/>
    <col min="3" max="3" width="17.00390625" style="0" customWidth="1"/>
  </cols>
  <sheetData>
    <row r="1" ht="12.75">
      <c r="A1" s="3" t="s">
        <v>59</v>
      </c>
    </row>
    <row r="2" ht="12.75">
      <c r="A2" s="2"/>
    </row>
    <row r="3" spans="1:3" s="5" customFormat="1" ht="12.75">
      <c r="A3" s="5" t="s">
        <v>0</v>
      </c>
      <c r="B3" s="6" t="s">
        <v>53</v>
      </c>
      <c r="C3" s="6" t="s">
        <v>54</v>
      </c>
    </row>
    <row r="4" spans="1:3" ht="12.75">
      <c r="A4" t="s">
        <v>1</v>
      </c>
      <c r="B4">
        <v>2</v>
      </c>
      <c r="C4" s="1">
        <f>500000+500000</f>
        <v>1000000</v>
      </c>
    </row>
    <row r="5" spans="1:3" ht="12.75">
      <c r="A5" t="s">
        <v>2</v>
      </c>
      <c r="B5">
        <v>2</v>
      </c>
      <c r="C5" s="1">
        <f>233262+500000</f>
        <v>733262</v>
      </c>
    </row>
    <row r="6" spans="1:3" ht="12.75">
      <c r="A6" t="s">
        <v>3</v>
      </c>
      <c r="B6">
        <v>1</v>
      </c>
      <c r="C6" s="1">
        <v>500000</v>
      </c>
    </row>
    <row r="7" spans="1:3" ht="12.75">
      <c r="A7" t="s">
        <v>4</v>
      </c>
      <c r="B7">
        <v>1</v>
      </c>
      <c r="C7" s="1">
        <v>391455</v>
      </c>
    </row>
    <row r="8" spans="1:3" ht="12.75">
      <c r="A8" t="s">
        <v>5</v>
      </c>
      <c r="B8">
        <v>2</v>
      </c>
      <c r="C8" s="1">
        <f>479235+500000</f>
        <v>979235</v>
      </c>
    </row>
    <row r="9" spans="1:3" ht="12.75">
      <c r="A9" t="s">
        <v>6</v>
      </c>
      <c r="B9">
        <v>1</v>
      </c>
      <c r="C9" s="1">
        <v>500000</v>
      </c>
    </row>
    <row r="10" spans="1:3" ht="12.75">
      <c r="A10" t="s">
        <v>45</v>
      </c>
      <c r="B10">
        <v>1</v>
      </c>
      <c r="C10" s="1">
        <v>481410</v>
      </c>
    </row>
    <row r="11" spans="1:3" ht="12.75">
      <c r="A11" t="s">
        <v>7</v>
      </c>
      <c r="B11">
        <v>1</v>
      </c>
      <c r="C11" s="1">
        <v>499100</v>
      </c>
    </row>
    <row r="12" spans="1:3" ht="12.75">
      <c r="A12" t="s">
        <v>9</v>
      </c>
      <c r="B12">
        <v>1</v>
      </c>
      <c r="C12" s="1">
        <v>500000</v>
      </c>
    </row>
    <row r="13" spans="1:3" ht="12.75">
      <c r="A13" t="s">
        <v>11</v>
      </c>
      <c r="B13">
        <v>2</v>
      </c>
      <c r="C13" s="1">
        <f>69550+195000</f>
        <v>264550</v>
      </c>
    </row>
    <row r="14" spans="1:3" ht="12.75">
      <c r="A14" t="s">
        <v>12</v>
      </c>
      <c r="B14">
        <v>1</v>
      </c>
      <c r="C14" s="1">
        <v>90300</v>
      </c>
    </row>
    <row r="15" spans="1:3" ht="12.75">
      <c r="A15" t="s">
        <v>13</v>
      </c>
      <c r="B15">
        <v>1</v>
      </c>
      <c r="C15" s="1">
        <v>67360</v>
      </c>
    </row>
    <row r="16" spans="1:3" ht="12.75">
      <c r="A16" t="s">
        <v>14</v>
      </c>
      <c r="B16">
        <v>4</v>
      </c>
      <c r="C16" s="1">
        <f>500000+214956+162543+494750</f>
        <v>1372249</v>
      </c>
    </row>
    <row r="17" spans="1:3" ht="12.75">
      <c r="A17" t="s">
        <v>15</v>
      </c>
      <c r="B17">
        <v>1</v>
      </c>
      <c r="C17" s="1">
        <v>368183</v>
      </c>
    </row>
    <row r="18" spans="1:3" ht="12.75">
      <c r="A18" t="s">
        <v>16</v>
      </c>
      <c r="B18">
        <v>2</v>
      </c>
      <c r="C18" s="1">
        <f>207720+200000</f>
        <v>407720</v>
      </c>
    </row>
    <row r="19" spans="1:3" ht="12.75">
      <c r="A19" t="s">
        <v>17</v>
      </c>
      <c r="B19">
        <v>1</v>
      </c>
      <c r="C19" s="1">
        <v>464492</v>
      </c>
    </row>
    <row r="20" spans="1:3" ht="12.75">
      <c r="A20" t="s">
        <v>18</v>
      </c>
      <c r="B20">
        <v>3</v>
      </c>
      <c r="C20" s="1">
        <f>500000+193930+500000</f>
        <v>1193930</v>
      </c>
    </row>
    <row r="21" spans="1:3" ht="12.75">
      <c r="A21" t="s">
        <v>41</v>
      </c>
      <c r="B21">
        <v>3</v>
      </c>
      <c r="C21" s="1">
        <f>430071+398785+209300</f>
        <v>1038156</v>
      </c>
    </row>
    <row r="22" spans="1:3" ht="12.75">
      <c r="A22" t="s">
        <v>21</v>
      </c>
      <c r="B22">
        <v>2</v>
      </c>
      <c r="C22" s="1">
        <f>164640+484000</f>
        <v>648640</v>
      </c>
    </row>
    <row r="23" spans="1:3" ht="12.75">
      <c r="A23" t="s">
        <v>23</v>
      </c>
      <c r="B23">
        <v>1</v>
      </c>
      <c r="C23" s="1">
        <v>432526</v>
      </c>
    </row>
    <row r="24" spans="1:3" ht="12.75">
      <c r="A24" t="s">
        <v>24</v>
      </c>
      <c r="B24">
        <v>5</v>
      </c>
      <c r="C24" s="1">
        <f>499800+190279+335000+476650+400998</f>
        <v>1902727</v>
      </c>
    </row>
    <row r="25" spans="1:3" ht="12.75">
      <c r="A25" t="s">
        <v>25</v>
      </c>
      <c r="B25">
        <v>2</v>
      </c>
      <c r="C25" s="1">
        <f>213530+482518</f>
        <v>696048</v>
      </c>
    </row>
    <row r="26" spans="1:3" ht="12.75">
      <c r="A26" t="s">
        <v>26</v>
      </c>
      <c r="B26">
        <v>5</v>
      </c>
      <c r="C26" s="1">
        <f>497000+309778+415696+498000+486928</f>
        <v>2207402</v>
      </c>
    </row>
    <row r="27" spans="1:3" ht="12.75">
      <c r="A27" t="s">
        <v>27</v>
      </c>
      <c r="B27">
        <v>2</v>
      </c>
      <c r="C27" s="1">
        <f>286486+317687</f>
        <v>604173</v>
      </c>
    </row>
    <row r="28" spans="1:3" ht="12.75">
      <c r="A28" t="s">
        <v>28</v>
      </c>
      <c r="B28">
        <v>4</v>
      </c>
      <c r="C28" s="1">
        <f>500000+456647+500000+500000</f>
        <v>1956647</v>
      </c>
    </row>
    <row r="29" spans="1:3" ht="12.75">
      <c r="A29" t="s">
        <v>31</v>
      </c>
      <c r="B29">
        <v>4</v>
      </c>
      <c r="C29" s="1">
        <f>500000+490012+460990+427972</f>
        <v>1878974</v>
      </c>
    </row>
    <row r="30" spans="1:3" ht="12.75">
      <c r="A30" t="s">
        <v>32</v>
      </c>
      <c r="B30">
        <v>7</v>
      </c>
      <c r="C30" s="1">
        <f>500000+500000+497000+450595+312315+257760+499473</f>
        <v>3017143</v>
      </c>
    </row>
    <row r="31" spans="1:3" ht="12.75">
      <c r="A31" t="s">
        <v>48</v>
      </c>
      <c r="B31">
        <v>1</v>
      </c>
      <c r="C31" s="1">
        <v>322322</v>
      </c>
    </row>
    <row r="32" spans="1:3" ht="12.75">
      <c r="A32" t="s">
        <v>33</v>
      </c>
      <c r="B32">
        <v>3</v>
      </c>
      <c r="C32" s="1">
        <f>73000+470700+171578</f>
        <v>715278</v>
      </c>
    </row>
    <row r="33" spans="1:3" ht="12.75">
      <c r="A33" t="s">
        <v>34</v>
      </c>
      <c r="B33">
        <v>1</v>
      </c>
      <c r="C33" s="1">
        <v>400000</v>
      </c>
    </row>
    <row r="34" spans="1:3" ht="12.75">
      <c r="A34" t="s">
        <v>35</v>
      </c>
      <c r="B34">
        <v>2</v>
      </c>
      <c r="C34" s="1">
        <f>475000+470600</f>
        <v>945600</v>
      </c>
    </row>
    <row r="35" spans="1:3" ht="12.75">
      <c r="A35" t="s">
        <v>36</v>
      </c>
      <c r="B35">
        <v>1</v>
      </c>
      <c r="C35" s="1">
        <v>350000</v>
      </c>
    </row>
    <row r="36" spans="1:3" ht="12.75">
      <c r="A36" t="s">
        <v>37</v>
      </c>
      <c r="B36">
        <v>1</v>
      </c>
      <c r="C36" s="1">
        <v>210890</v>
      </c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Kish</cp:lastModifiedBy>
  <cp:lastPrinted>2006-11-16T17:04:05Z</cp:lastPrinted>
  <dcterms:created xsi:type="dcterms:W3CDTF">2006-11-09T18:25:04Z</dcterms:created>
  <dcterms:modified xsi:type="dcterms:W3CDTF">2006-11-20T21:09:27Z</dcterms:modified>
  <cp:category/>
  <cp:version/>
  <cp:contentType/>
  <cp:contentStatus/>
</cp:coreProperties>
</file>